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ff30c5ae8d6532/Documents/investing/"/>
    </mc:Choice>
  </mc:AlternateContent>
  <xr:revisionPtr revIDLastSave="1033" documentId="8_{D5EFA984-422A-4055-980F-09833528F8F7}" xr6:coauthVersionLast="45" xr6:coauthVersionMax="45" xr10:uidLastSave="{569DF9B6-1579-4D37-99DE-D7B9FAC12E96}"/>
  <bookViews>
    <workbookView xWindow="23880" yWindow="-120" windowWidth="29040" windowHeight="18240" xr2:uid="{22305AA2-0A8D-4FA2-B4A1-2F976955B7EB}"/>
  </bookViews>
  <sheets>
    <sheet name="cover" sheetId="17" r:id="rId1"/>
    <sheet name="analysis" sheetId="16" r:id="rId2"/>
    <sheet name="indexes" sheetId="12" r:id="rId3"/>
  </sheets>
  <externalReferences>
    <externalReference r:id="rId4"/>
    <externalReference r:id="rId5"/>
  </externalReferences>
  <definedNames>
    <definedName name="__FDS_HYPERLINK_TOGGLE_STATE__" hidden="1">"ON"</definedName>
    <definedName name="BLPH1" hidden="1">'[1]Mthly Data'!$A$3</definedName>
    <definedName name="BLPH2" hidden="1">'[2]Mthly Data'!#REF!</definedName>
    <definedName name="BLPH3" hidden="1">'[2]Mthly Data'!#REF!</definedName>
    <definedName name="blph4" hidden="1">'[2]Mthly Data'!#REF!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6" l="1"/>
  <c r="G18" i="16"/>
  <c r="K5" i="17" l="1"/>
  <c r="J5" i="17"/>
  <c r="H5" i="17"/>
  <c r="I5" i="17"/>
  <c r="E5" i="17"/>
  <c r="F5" i="17"/>
  <c r="D5" i="17"/>
  <c r="G5" i="17"/>
  <c r="C5" i="17"/>
  <c r="G24" i="17"/>
  <c r="G23" i="17"/>
  <c r="G21" i="17"/>
  <c r="G22" i="17"/>
  <c r="G20" i="17"/>
  <c r="G19" i="17"/>
  <c r="G17" i="17"/>
  <c r="G16" i="17"/>
  <c r="G18" i="17"/>
  <c r="G15" i="17"/>
  <c r="G14" i="17"/>
  <c r="F24" i="17"/>
  <c r="F23" i="17"/>
  <c r="F21" i="17"/>
  <c r="F22" i="17"/>
  <c r="F20" i="17"/>
  <c r="F19" i="17"/>
  <c r="F17" i="17"/>
  <c r="F16" i="17"/>
  <c r="F18" i="17"/>
  <c r="F15" i="17"/>
  <c r="F14" i="17"/>
  <c r="C32" i="17"/>
  <c r="C31" i="17"/>
  <c r="C30" i="17"/>
  <c r="C29" i="17"/>
  <c r="C28" i="17"/>
  <c r="C27" i="17"/>
  <c r="C26" i="17"/>
  <c r="E37" i="12" l="1"/>
  <c r="E36" i="12"/>
  <c r="E35" i="12"/>
  <c r="E34" i="12"/>
  <c r="E33" i="12"/>
  <c r="E32" i="12"/>
  <c r="E31" i="12"/>
  <c r="E30" i="12"/>
  <c r="E29" i="12"/>
  <c r="T34" i="12"/>
  <c r="T30" i="12"/>
  <c r="T29" i="12"/>
  <c r="I37" i="12" l="1"/>
  <c r="I36" i="12"/>
  <c r="I35" i="12"/>
  <c r="I34" i="12"/>
  <c r="I33" i="12"/>
  <c r="I32" i="12"/>
  <c r="I31" i="12"/>
  <c r="I30" i="12"/>
  <c r="I29" i="12"/>
  <c r="I28" i="12"/>
  <c r="I27" i="12"/>
  <c r="I26" i="12"/>
  <c r="I39" i="12"/>
  <c r="X39" i="12" l="1"/>
  <c r="V39" i="12"/>
  <c r="T39" i="12"/>
  <c r="Q39" i="12"/>
  <c r="O39" i="12"/>
  <c r="M39" i="12"/>
  <c r="K39" i="12"/>
  <c r="G39" i="12"/>
  <c r="E39" i="12"/>
  <c r="C3" i="16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V9" i="12"/>
  <c r="V8" i="12"/>
  <c r="V7" i="12"/>
  <c r="V6" i="12"/>
  <c r="V5" i="12"/>
  <c r="T37" i="12"/>
  <c r="T36" i="12"/>
  <c r="T35" i="12"/>
  <c r="T33" i="12"/>
  <c r="T32" i="12"/>
  <c r="T31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37" i="12"/>
  <c r="M36" i="12"/>
  <c r="M35" i="12"/>
  <c r="M34" i="12"/>
  <c r="M33" i="12"/>
  <c r="M32" i="12"/>
  <c r="M31" i="12"/>
  <c r="M30" i="12"/>
  <c r="M29" i="12"/>
  <c r="M28" i="12"/>
  <c r="M27" i="12"/>
  <c r="K27" i="12"/>
  <c r="K37" i="12"/>
  <c r="K36" i="12"/>
  <c r="K35" i="12"/>
  <c r="K34" i="12"/>
  <c r="K33" i="12"/>
  <c r="K32" i="12"/>
  <c r="K31" i="12"/>
  <c r="K30" i="12"/>
  <c r="K29" i="12"/>
  <c r="K28" i="12"/>
  <c r="G36" i="12"/>
  <c r="G35" i="12"/>
  <c r="G34" i="12"/>
  <c r="G33" i="12"/>
  <c r="G32" i="12"/>
  <c r="G31" i="12"/>
  <c r="G30" i="12"/>
  <c r="G29" i="12"/>
  <c r="G28" i="12"/>
  <c r="G37" i="12"/>
  <c r="G7" i="16" l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9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C7" i="16"/>
  <c r="C8" i="16" s="1"/>
  <c r="C9" i="16"/>
  <c r="C10" i="16" s="1"/>
  <c r="C11" i="16" s="1"/>
  <c r="C12" i="16" s="1"/>
  <c r="C13" i="16" s="1"/>
  <c r="C14" i="16" l="1"/>
  <c r="C15" i="16" s="1"/>
  <c r="C16" i="16" s="1"/>
  <c r="C17" i="16" s="1"/>
  <c r="C18" i="16" s="1"/>
  <c r="C19" i="16" s="1"/>
  <c r="L13" i="16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C20" i="16" l="1"/>
  <c r="C21" i="16" s="1"/>
  <c r="C22" i="16" s="1"/>
  <c r="I19" i="16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C23" i="16" l="1"/>
  <c r="C24" i="16" s="1"/>
  <c r="C25" i="16" s="1"/>
  <c r="C26" i="16" s="1"/>
  <c r="C27" i="16" s="1"/>
  <c r="C28" i="16" s="1"/>
  <c r="C29" i="16" s="1"/>
  <c r="H22" i="16"/>
  <c r="H23" i="16" s="1"/>
  <c r="H24" i="16" s="1"/>
  <c r="H25" i="16" s="1"/>
  <c r="H26" i="16" s="1"/>
  <c r="H27" i="16" s="1"/>
  <c r="H28" i="16" s="1"/>
  <c r="H29" i="16" s="1"/>
  <c r="H30" i="16" s="1"/>
  <c r="C30" i="16" l="1"/>
  <c r="F29" i="16"/>
  <c r="F30" i="16" s="1"/>
  <c r="E30" i="16" l="1"/>
  <c r="C33" i="16"/>
  <c r="D30" i="16"/>
  <c r="L33" i="16" l="1"/>
  <c r="L34" i="16" s="1"/>
  <c r="L35" i="16" s="1"/>
  <c r="L36" i="16" s="1"/>
  <c r="L37" i="16" s="1"/>
  <c r="L38" i="16" s="1"/>
  <c r="L39" i="16" s="1"/>
  <c r="L40" i="16" s="1"/>
  <c r="L41" i="16" s="1"/>
  <c r="L42" i="16" s="1"/>
  <c r="G33" i="16"/>
  <c r="G34" i="16" s="1"/>
  <c r="G35" i="16" s="1"/>
  <c r="G36" i="16" s="1"/>
  <c r="G37" i="16" s="1"/>
  <c r="G38" i="16" s="1"/>
  <c r="G39" i="16" s="1"/>
  <c r="G40" i="16" s="1"/>
  <c r="G41" i="16" s="1"/>
  <c r="G42" i="16" s="1"/>
  <c r="E33" i="16"/>
  <c r="E34" i="16" s="1"/>
  <c r="E35" i="16" s="1"/>
  <c r="E36" i="16" s="1"/>
  <c r="E37" i="16" s="1"/>
  <c r="E38" i="16" s="1"/>
  <c r="E39" i="16" s="1"/>
  <c r="E40" i="16" s="1"/>
  <c r="E41" i="16" s="1"/>
  <c r="E42" i="16" s="1"/>
  <c r="H33" i="16"/>
  <c r="H34" i="16" s="1"/>
  <c r="H35" i="16" s="1"/>
  <c r="H36" i="16" s="1"/>
  <c r="H37" i="16" s="1"/>
  <c r="H38" i="16" s="1"/>
  <c r="H39" i="16" s="1"/>
  <c r="H40" i="16" s="1"/>
  <c r="H41" i="16" s="1"/>
  <c r="H42" i="16" s="1"/>
  <c r="D33" i="16"/>
  <c r="K33" i="16"/>
  <c r="K34" i="16" s="1"/>
  <c r="K35" i="16" s="1"/>
  <c r="K36" i="16" s="1"/>
  <c r="K37" i="16" s="1"/>
  <c r="K38" i="16" s="1"/>
  <c r="K39" i="16" s="1"/>
  <c r="K40" i="16" s="1"/>
  <c r="K41" i="16" s="1"/>
  <c r="K42" i="16" s="1"/>
  <c r="F33" i="16"/>
  <c r="F34" i="16" s="1"/>
  <c r="F35" i="16" s="1"/>
  <c r="F36" i="16" s="1"/>
  <c r="F37" i="16" s="1"/>
  <c r="F38" i="16" s="1"/>
  <c r="F39" i="16" s="1"/>
  <c r="F40" i="16" s="1"/>
  <c r="F41" i="16" s="1"/>
  <c r="F42" i="16" s="1"/>
  <c r="I33" i="16"/>
  <c r="I34" i="16" s="1"/>
  <c r="I35" i="16" s="1"/>
  <c r="I36" i="16" s="1"/>
  <c r="I37" i="16" s="1"/>
  <c r="I38" i="16" s="1"/>
  <c r="I39" i="16" s="1"/>
  <c r="I40" i="16" s="1"/>
  <c r="I41" i="16" s="1"/>
  <c r="I42" i="16" s="1"/>
  <c r="D34" i="16"/>
  <c r="D35" i="16" s="1"/>
  <c r="D36" i="16" s="1"/>
  <c r="D37" i="16" s="1"/>
  <c r="D38" i="16" s="1"/>
  <c r="D39" i="16" s="1"/>
  <c r="D40" i="16" s="1"/>
  <c r="D41" i="16" s="1"/>
  <c r="D42" i="16" s="1"/>
  <c r="C34" i="16"/>
  <c r="C35" i="16" s="1"/>
  <c r="C36" i="16" s="1"/>
  <c r="C37" i="16" s="1"/>
  <c r="C38" i="16" s="1"/>
  <c r="C39" i="16" s="1"/>
  <c r="C40" i="16" s="1"/>
  <c r="C41" i="16" s="1"/>
  <c r="C42" i="16" s="1"/>
  <c r="J33" i="16"/>
  <c r="J34" i="16" s="1"/>
  <c r="J35" i="16" s="1"/>
  <c r="J36" i="16" s="1"/>
  <c r="J37" i="16" s="1"/>
  <c r="J38" i="16" s="1"/>
  <c r="J39" i="16" s="1"/>
  <c r="J40" i="16" s="1"/>
  <c r="J41" i="16" s="1"/>
  <c r="J42" i="1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8207250-E072-4A9B-A4BF-D01DED9A6E0B}" keepAlive="1" name="Query - ACWI" description="Connection to the 'ACWI' query in the workbook." type="5" refreshedVersion="6" background="1" saveData="1">
    <dbPr connection="Provider=Microsoft.Mashup.OleDb.1;Data Source=$Workbook$;Location=ACWI;Extended Properties=&quot;&quot;" command="SELECT * FROM [ACWI]"/>
  </connection>
  <connection id="2" xr16:uid="{ED7C8B60-FB4A-45B0-9916-7F27C8249453}" keepAlive="1" name="Query - ACWI (2)" description="Connection to the 'ACWI (2)' query in the workbook." type="5" refreshedVersion="6" background="1" saveData="1">
    <dbPr connection="Provider=Microsoft.Mashup.OleDb.1;Data Source=$Workbook$;Location=&quot;ACWI (2)&quot;;Extended Properties=&quot;&quot;" command="SELECT * FROM [ACWI (2)]"/>
  </connection>
  <connection id="3" xr16:uid="{0D61FA42-24CF-42CF-B73A-57B85DE15E94}" keepAlive="1" name="Query - IWDA AS" description="Connection to the 'IWDA AS' query in the workbook." type="5" refreshedVersion="6" background="1" saveData="1">
    <dbPr connection="Provider=Microsoft.Mashup.OleDb.1;Data Source=$Workbook$;Location=&quot;IWDA AS&quot;;Extended Properties=&quot;&quot;" command="SELECT * FROM [IWDA AS]"/>
  </connection>
  <connection id="4" xr16:uid="{CDE5D006-6B28-4471-9723-7EEC92BC9DF1}" keepAlive="1" name="Query - VEA" description="Connection to the 'VEA' query in the workbook." type="5" refreshedVersion="6" background="1" saveData="1">
    <dbPr connection="Provider=Microsoft.Mashup.OleDb.1;Data Source=$Workbook$;Location=VEA;Extended Properties=&quot;&quot;" command="SELECT * FROM [VEA]"/>
  </connection>
  <connection id="5" xr16:uid="{D782FB00-DB2A-4798-B96A-560F0D6C0486}" keepAlive="1" name="Query - XWD TO" description="Connection to the 'XWD TO' query in the workbook." type="5" refreshedVersion="6" background="1" saveData="1">
    <dbPr connection="Provider=Microsoft.Mashup.OleDb.1;Data Source=$Workbook$;Location=&quot;XWD TO&quot;;Extended Properties=&quot;&quot;" command="SELECT * FROM [XWD TO]"/>
  </connection>
</connections>
</file>

<file path=xl/sharedStrings.xml><?xml version="1.0" encoding="utf-8"?>
<sst xmlns="http://schemas.openxmlformats.org/spreadsheetml/2006/main" count="142" uniqueCount="61">
  <si>
    <t>PSI20</t>
  </si>
  <si>
    <t>Euro Stoxx 50</t>
  </si>
  <si>
    <t>S&amp;P Europe 350</t>
  </si>
  <si>
    <t>STOXX Europe 600</t>
  </si>
  <si>
    <t>MSCI EAFE</t>
  </si>
  <si>
    <t>S&amp;P 500</t>
  </si>
  <si>
    <t>MSCI ACWI</t>
  </si>
  <si>
    <t>S&amp;P Global 1200</t>
  </si>
  <si>
    <t>Interest</t>
  </si>
  <si>
    <t>iShares MSCI EAFE ETF (EFA)</t>
  </si>
  <si>
    <t>MSCI World</t>
  </si>
  <si>
    <t>Points</t>
  </si>
  <si>
    <t>S&amp;P GLOBAL 1200</t>
  </si>
  <si>
    <t>Adj Close</t>
  </si>
  <si>
    <t>TR</t>
  </si>
  <si>
    <t>∆%</t>
  </si>
  <si>
    <t>iShares MSCI ACWI ETF</t>
  </si>
  <si>
    <t>Assumptions</t>
  </si>
  <si>
    <t>Yearly investment</t>
  </si>
  <si>
    <t>Interest rate</t>
  </si>
  <si>
    <t>Vanguard FTSE Developed Markets Index Fund ETF Shares (VEA)</t>
  </si>
  <si>
    <t>iShares MSCI World Index ETF (XWD.TO)</t>
  </si>
  <si>
    <t>Constituents</t>
  </si>
  <si>
    <t>Market Cap (USD Million)</t>
  </si>
  <si>
    <t>Emerging Market Exposure</t>
  </si>
  <si>
    <t>China</t>
  </si>
  <si>
    <t>Taiwan</t>
  </si>
  <si>
    <t>Hong Kong *</t>
  </si>
  <si>
    <t>South Korea *</t>
  </si>
  <si>
    <t>Brazil</t>
  </si>
  <si>
    <t>?</t>
  </si>
  <si>
    <t>Developed Market Exposure</t>
  </si>
  <si>
    <t>USA</t>
  </si>
  <si>
    <t>Japan</t>
  </si>
  <si>
    <t>UK</t>
  </si>
  <si>
    <t>Switzerland</t>
  </si>
  <si>
    <t>Canada</t>
  </si>
  <si>
    <t>France</t>
  </si>
  <si>
    <t>Germany</t>
  </si>
  <si>
    <t>As of</t>
  </si>
  <si>
    <t>Information Technology</t>
  </si>
  <si>
    <t>Health Care</t>
  </si>
  <si>
    <t>Financials</t>
  </si>
  <si>
    <t>Consumer Discretionary</t>
  </si>
  <si>
    <t>Industrials</t>
  </si>
  <si>
    <t>Consumer Staples</t>
  </si>
  <si>
    <t>Utilities</t>
  </si>
  <si>
    <t>Energy</t>
  </si>
  <si>
    <t>Real Estate</t>
  </si>
  <si>
    <t>Materials</t>
  </si>
  <si>
    <t>Sector Breakdown</t>
  </si>
  <si>
    <t>Communication Services</t>
  </si>
  <si>
    <t>Link</t>
  </si>
  <si>
    <t>Singapore *</t>
  </si>
  <si>
    <t>* Opinions on whether these countries are considered Emerging or Developed Markets differ.</t>
  </si>
  <si>
    <t>The Netherlands</t>
  </si>
  <si>
    <t>Portugal</t>
  </si>
  <si>
    <t>Average</t>
  </si>
  <si>
    <t>Largest</t>
  </si>
  <si>
    <t>Smallest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</si>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</sst>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-2]\ * #,##0.00_-;\-[$€-2]\ * #,##0.00_-;_-[$€-2]\ * &quot;-&quot;??_-;_-@_-"/>
    <numFmt numFmtId="165" formatCode="#,##0.00_ ;\-#,##0.00\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07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0" fontId="0" fillId="0" borderId="0" xfId="2" applyNumberFormat="1" applyFont="1"/>
    <xf numFmtId="165" fontId="4" fillId="0" borderId="0" xfId="3" applyNumberFormat="1"/>
    <xf numFmtId="0" fontId="4" fillId="0" borderId="0" xfId="3"/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4" fontId="0" fillId="3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166" fontId="0" fillId="3" borderId="3" xfId="2" applyNumberFormat="1" applyFont="1" applyFill="1" applyBorder="1" applyAlignment="1">
      <alignment horizontal="right"/>
    </xf>
    <xf numFmtId="166" fontId="0" fillId="0" borderId="0" xfId="2" applyNumberFormat="1" applyFont="1" applyFill="1" applyBorder="1" applyAlignment="1">
      <alignment horizontal="right"/>
    </xf>
    <xf numFmtId="166" fontId="0" fillId="0" borderId="3" xfId="2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9" fontId="0" fillId="0" borderId="3" xfId="2" applyNumberFormat="1" applyFont="1" applyFill="1" applyBorder="1" applyAlignment="1">
      <alignment horizontal="right"/>
    </xf>
    <xf numFmtId="9" fontId="0" fillId="3" borderId="3" xfId="2" applyNumberFormat="1" applyFont="1" applyFill="1" applyBorder="1" applyAlignment="1">
      <alignment horizontal="right"/>
    </xf>
    <xf numFmtId="9" fontId="0" fillId="0" borderId="5" xfId="2" applyNumberFormat="1" applyFont="1" applyFill="1" applyBorder="1" applyAlignment="1">
      <alignment horizontal="right"/>
    </xf>
    <xf numFmtId="14" fontId="0" fillId="3" borderId="6" xfId="0" applyNumberFormat="1" applyFill="1" applyBorder="1"/>
    <xf numFmtId="14" fontId="0" fillId="0" borderId="7" xfId="0" applyNumberFormat="1" applyFill="1" applyBorder="1"/>
    <xf numFmtId="14" fontId="0" fillId="3" borderId="7" xfId="0" applyNumberFormat="1" applyFill="1" applyBorder="1"/>
    <xf numFmtId="14" fontId="0" fillId="0" borderId="8" xfId="0" applyNumberFormat="1" applyFill="1" applyBorder="1"/>
    <xf numFmtId="0" fontId="2" fillId="2" borderId="10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Continuous" vertical="center" wrapText="1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165" fontId="3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0" fillId="3" borderId="13" xfId="0" applyFill="1" applyBorder="1"/>
    <xf numFmtId="164" fontId="0" fillId="3" borderId="14" xfId="1" applyNumberFormat="1" applyFont="1" applyFill="1" applyBorder="1"/>
    <xf numFmtId="0" fontId="0" fillId="3" borderId="14" xfId="0" applyFill="1" applyBorder="1" applyAlignment="1">
      <alignment wrapText="1"/>
    </xf>
    <xf numFmtId="165" fontId="0" fillId="3" borderId="14" xfId="1" applyNumberFormat="1" applyFont="1" applyFill="1" applyBorder="1" applyAlignment="1">
      <alignment wrapText="1"/>
    </xf>
    <xf numFmtId="164" fontId="0" fillId="3" borderId="14" xfId="0" applyNumberFormat="1" applyFill="1" applyBorder="1"/>
    <xf numFmtId="165" fontId="0" fillId="3" borderId="15" xfId="1" applyNumberFormat="1" applyFont="1" applyFill="1" applyBorder="1" applyAlignment="1">
      <alignment wrapText="1"/>
    </xf>
    <xf numFmtId="0" fontId="0" fillId="0" borderId="2" xfId="0" applyBorder="1"/>
    <xf numFmtId="164" fontId="0" fillId="0" borderId="0" xfId="1" applyNumberFormat="1" applyFont="1" applyBorder="1"/>
    <xf numFmtId="0" fontId="0" fillId="0" borderId="0" xfId="0" applyBorder="1"/>
    <xf numFmtId="164" fontId="0" fillId="0" borderId="0" xfId="0" applyNumberForma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0" fontId="0" fillId="3" borderId="2" xfId="0" applyFill="1" applyBorder="1"/>
    <xf numFmtId="164" fontId="0" fillId="3" borderId="0" xfId="1" applyNumberFormat="1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165" fontId="0" fillId="3" borderId="0" xfId="1" applyNumberFormat="1" applyFont="1" applyFill="1" applyBorder="1"/>
    <xf numFmtId="165" fontId="0" fillId="3" borderId="3" xfId="1" applyNumberFormat="1" applyFont="1" applyFill="1" applyBorder="1"/>
    <xf numFmtId="164" fontId="1" fillId="3" borderId="0" xfId="1" applyNumberFormat="1" applyFont="1" applyFill="1" applyBorder="1"/>
    <xf numFmtId="0" fontId="0" fillId="0" borderId="3" xfId="0" applyBorder="1"/>
    <xf numFmtId="164" fontId="0" fillId="3" borderId="3" xfId="0" applyNumberFormat="1" applyFill="1" applyBorder="1"/>
    <xf numFmtId="164" fontId="0" fillId="0" borderId="3" xfId="0" applyNumberFormat="1" applyBorder="1"/>
    <xf numFmtId="0" fontId="0" fillId="0" borderId="4" xfId="0" applyBorder="1"/>
    <xf numFmtId="164" fontId="0" fillId="0" borderId="9" xfId="1" applyNumberFormat="1" applyFont="1" applyBorder="1"/>
    <xf numFmtId="164" fontId="0" fillId="0" borderId="9" xfId="0" applyNumberFormat="1" applyBorder="1"/>
    <xf numFmtId="0" fontId="0" fillId="0" borderId="9" xfId="0" applyBorder="1"/>
    <xf numFmtId="164" fontId="0" fillId="0" borderId="5" xfId="0" applyNumberFormat="1" applyBorder="1"/>
    <xf numFmtId="164" fontId="0" fillId="3" borderId="15" xfId="1" applyNumberFormat="1" applyFont="1" applyFill="1" applyBorder="1"/>
    <xf numFmtId="166" fontId="0" fillId="3" borderId="0" xfId="2" applyNumberFormat="1" applyFont="1" applyFill="1" applyBorder="1" applyAlignment="1">
      <alignment horizontal="right"/>
    </xf>
    <xf numFmtId="9" fontId="0" fillId="3" borderId="0" xfId="2" applyNumberFormat="1" applyFont="1" applyFill="1" applyBorder="1" applyAlignment="1">
      <alignment horizontal="right"/>
    </xf>
    <xf numFmtId="9" fontId="0" fillId="0" borderId="0" xfId="2" applyNumberFormat="1" applyFont="1" applyFill="1" applyBorder="1" applyAlignment="1">
      <alignment horizontal="right"/>
    </xf>
    <xf numFmtId="9" fontId="0" fillId="0" borderId="9" xfId="2" applyNumberFormat="1" applyFont="1" applyFill="1" applyBorder="1" applyAlignment="1">
      <alignment horizontal="right"/>
    </xf>
    <xf numFmtId="4" fontId="0" fillId="0" borderId="0" xfId="2" applyNumberFormat="1" applyFont="1" applyFill="1" applyBorder="1" applyAlignment="1">
      <alignment horizontal="right"/>
    </xf>
    <xf numFmtId="4" fontId="0" fillId="3" borderId="0" xfId="2" applyNumberFormat="1" applyFont="1" applyFill="1" applyBorder="1" applyAlignment="1">
      <alignment horizontal="right"/>
    </xf>
    <xf numFmtId="4" fontId="0" fillId="0" borderId="9" xfId="2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 vertical="center" wrapText="1"/>
    </xf>
    <xf numFmtId="16" fontId="4" fillId="0" borderId="0" xfId="3" applyNumberFormat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left" indent="1"/>
    </xf>
    <xf numFmtId="166" fontId="0" fillId="0" borderId="0" xfId="2" applyNumberFormat="1" applyFont="1" applyBorder="1"/>
    <xf numFmtId="166" fontId="0" fillId="0" borderId="0" xfId="2" applyNumberFormat="1" applyFont="1" applyBorder="1" applyAlignment="1">
      <alignment horizontal="right"/>
    </xf>
    <xf numFmtId="0" fontId="0" fillId="0" borderId="9" xfId="0" applyBorder="1" applyAlignment="1">
      <alignment horizontal="left" indent="1"/>
    </xf>
    <xf numFmtId="166" fontId="0" fillId="0" borderId="9" xfId="2" applyNumberFormat="1" applyFont="1" applyBorder="1"/>
    <xf numFmtId="166" fontId="0" fillId="0" borderId="9" xfId="2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0" xfId="0" applyNumberFormat="1" applyBorder="1"/>
    <xf numFmtId="4" fontId="0" fillId="0" borderId="9" xfId="0" applyNumberFormat="1" applyBorder="1"/>
    <xf numFmtId="0" fontId="0" fillId="3" borderId="14" xfId="0" applyFill="1" applyBorder="1" applyAlignment="1">
      <alignment horizontal="left" indent="1"/>
    </xf>
    <xf numFmtId="4" fontId="0" fillId="3" borderId="14" xfId="0" applyNumberFormat="1" applyFill="1" applyBorder="1"/>
    <xf numFmtId="4" fontId="0" fillId="3" borderId="14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 indent="1"/>
    </xf>
    <xf numFmtId="4" fontId="0" fillId="3" borderId="0" xfId="0" applyNumberFormat="1" applyFill="1" applyBorder="1"/>
    <xf numFmtId="166" fontId="0" fillId="3" borderId="14" xfId="2" applyNumberFormat="1" applyFont="1" applyFill="1" applyBorder="1"/>
    <xf numFmtId="166" fontId="0" fillId="3" borderId="0" xfId="2" applyNumberFormat="1" applyFont="1" applyFill="1" applyBorder="1"/>
    <xf numFmtId="0" fontId="0" fillId="3" borderId="9" xfId="0" applyFill="1" applyBorder="1" applyAlignment="1">
      <alignment horizontal="left" indent="1"/>
    </xf>
    <xf numFmtId="166" fontId="0" fillId="3" borderId="9" xfId="2" applyNumberFormat="1" applyFont="1" applyFill="1" applyBorder="1"/>
    <xf numFmtId="4" fontId="0" fillId="3" borderId="9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6" fontId="0" fillId="3" borderId="9" xfId="2" applyNumberFormat="1" applyFont="1" applyFill="1" applyBorder="1" applyAlignment="1">
      <alignment horizontal="right"/>
    </xf>
    <xf numFmtId="0" fontId="0" fillId="3" borderId="0" xfId="0" applyFill="1"/>
    <xf numFmtId="0" fontId="3" fillId="3" borderId="0" xfId="0" applyFont="1" applyFill="1"/>
    <xf numFmtId="164" fontId="0" fillId="0" borderId="16" xfId="1" applyNumberFormat="1" applyFont="1" applyBorder="1"/>
    <xf numFmtId="10" fontId="0" fillId="0" borderId="16" xfId="2" applyNumberFormat="1" applyFont="1" applyBorder="1"/>
    <xf numFmtId="0" fontId="0" fillId="0" borderId="0" xfId="0" applyAlignment="1">
      <alignment horizontal="right"/>
    </xf>
  </cellXfs>
  <cellStyles count="5">
    <cellStyle name="Comma" xfId="1" builtinId="3"/>
    <cellStyle name="Hyperlink" xfId="3" builtinId="8"/>
    <cellStyle name="Normal" xfId="0" builtinId="0"/>
    <cellStyle name="Normal 2" xfId="4" xr:uid="{D29936B3-B5CA-41B6-8C92-2A5A90A3A38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analysis!$C$32</c:f>
              <c:strCache>
                <c:ptCount val="1"/>
                <c:pt idx="0">
                  <c:v>Interest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analysis!$C$33:$C$42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188557.07201912691</c:v>
                </c:pt>
                <c:pt idx="2">
                  <c:v>197928.21345950945</c:v>
                </c:pt>
                <c:pt idx="3">
                  <c:v>207486.77772869964</c:v>
                </c:pt>
                <c:pt idx="4">
                  <c:v>217236.51328327364</c:v>
                </c:pt>
                <c:pt idx="5">
                  <c:v>227181.24354893912</c:v>
                </c:pt>
                <c:pt idx="6">
                  <c:v>237324.86841991791</c:v>
                </c:pt>
                <c:pt idx="7">
                  <c:v>247671.36578831627</c:v>
                </c:pt>
                <c:pt idx="8">
                  <c:v>258224.79310408261</c:v>
                </c:pt>
                <c:pt idx="9">
                  <c:v>268989.28896616428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A-451A-A44E-852F150AC73E}"/>
            </c:ext>
          </c:extLst>
        </c:ser>
        <c:ser>
          <c:idx val="1"/>
          <c:order val="1"/>
          <c:tx>
            <c:strRef>
              <c:f>analysis!$D$32</c:f>
              <c:strCache>
                <c:ptCount val="1"/>
                <c:pt idx="0">
                  <c:v>S&amp;P Global 1200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analysis!$D$33:$D$42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175850.27855195748</c:v>
                </c:pt>
                <c:pt idx="2">
                  <c:v>211029.79655098676</c:v>
                </c:pt>
                <c:pt idx="3">
                  <c:v>271171.29215790069</c:v>
                </c:pt>
                <c:pt idx="4">
                  <c:v>291405.19668788044</c:v>
                </c:pt>
                <c:pt idx="5">
                  <c:v>294510.57240292028</c:v>
                </c:pt>
                <c:pt idx="6">
                  <c:v>326296.94959352718</c:v>
                </c:pt>
                <c:pt idx="7">
                  <c:v>409693.2597981905</c:v>
                </c:pt>
                <c:pt idx="8">
                  <c:v>381834.01737177593</c:v>
                </c:pt>
                <c:pt idx="9">
                  <c:v>495195.67497884657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A-451A-A44E-852F150AC73E}"/>
            </c:ext>
          </c:extLst>
        </c:ser>
        <c:ser>
          <c:idx val="2"/>
          <c:order val="2"/>
          <c:tx>
            <c:strRef>
              <c:f>analysis!$E$32</c:f>
              <c:strCache>
                <c:ptCount val="1"/>
                <c:pt idx="0">
                  <c:v>MSCI World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analysis!$E$33:$E$42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177637.28088940372</c:v>
                </c:pt>
                <c:pt idx="2">
                  <c:v>204214.43604612726</c:v>
                </c:pt>
                <c:pt idx="3">
                  <c:v>282718.64165840042</c:v>
                </c:pt>
                <c:pt idx="4">
                  <c:v>328799.60516798857</c:v>
                </c:pt>
                <c:pt idx="5">
                  <c:v>391664.1252743724</c:v>
                </c:pt>
                <c:pt idx="6">
                  <c:v>413410.47797676321</c:v>
                </c:pt>
                <c:pt idx="7">
                  <c:v>478621.80720721924</c:v>
                </c:pt>
                <c:pt idx="8">
                  <c:v>476955.70538949431</c:v>
                </c:pt>
                <c:pt idx="9">
                  <c:v>590036.26718431816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5A-451A-A44E-852F150AC73E}"/>
            </c:ext>
          </c:extLst>
        </c:ser>
        <c:ser>
          <c:idx val="3"/>
          <c:order val="3"/>
          <c:tx>
            <c:strRef>
              <c:f>analysis!$F$32</c:f>
              <c:strCache>
                <c:ptCount val="1"/>
                <c:pt idx="0">
                  <c:v>MSCI ACWI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analysis!$F$33:$F$42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170940.60173057814</c:v>
                </c:pt>
                <c:pt idx="2">
                  <c:v>205169.0351996762</c:v>
                </c:pt>
                <c:pt idx="3">
                  <c:v>256677.74920096822</c:v>
                </c:pt>
                <c:pt idx="4">
                  <c:v>272117.47282511694</c:v>
                </c:pt>
                <c:pt idx="5">
                  <c:v>271706.28119168617</c:v>
                </c:pt>
                <c:pt idx="6">
                  <c:v>300120.54988022946</c:v>
                </c:pt>
                <c:pt idx="7">
                  <c:v>378749.97260705999</c:v>
                </c:pt>
                <c:pt idx="8">
                  <c:v>349789.41916756448</c:v>
                </c:pt>
                <c:pt idx="9">
                  <c:v>448397.33064647164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5A-451A-A44E-852F150AC73E}"/>
            </c:ext>
          </c:extLst>
        </c:ser>
        <c:ser>
          <c:idx val="4"/>
          <c:order val="4"/>
          <c:tx>
            <c:strRef>
              <c:f>analysis!$G$32</c:f>
              <c:strCache>
                <c:ptCount val="1"/>
                <c:pt idx="0">
                  <c:v>S&amp;P 500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analysis!$G$33:$G$42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184963.96792686672</c:v>
                </c:pt>
                <c:pt idx="2">
                  <c:v>215359.66566394398</c:v>
                </c:pt>
                <c:pt idx="3">
                  <c:v>284708.81780382188</c:v>
                </c:pt>
                <c:pt idx="4">
                  <c:v>322738.95660580683</c:v>
                </c:pt>
                <c:pt idx="5">
                  <c:v>325993.93623871007</c:v>
                </c:pt>
                <c:pt idx="6">
                  <c:v>362677.53200407675</c:v>
                </c:pt>
                <c:pt idx="7">
                  <c:v>438709.38363582036</c:v>
                </c:pt>
                <c:pt idx="8">
                  <c:v>416945.93951509771</c:v>
                </c:pt>
                <c:pt idx="9">
                  <c:v>542951.88060615328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5A-451A-A44E-852F150AC73E}"/>
            </c:ext>
          </c:extLst>
        </c:ser>
        <c:ser>
          <c:idx val="5"/>
          <c:order val="5"/>
          <c:tx>
            <c:strRef>
              <c:f>analysis!$H$32</c:f>
              <c:strCache>
                <c:ptCount val="1"/>
                <c:pt idx="0">
                  <c:v>MSCI EAFE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analysis!$H$33:$H$42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163032.37734516946</c:v>
                </c:pt>
                <c:pt idx="2">
                  <c:v>199217.33492263683</c:v>
                </c:pt>
                <c:pt idx="3">
                  <c:v>247538.21568739883</c:v>
                </c:pt>
                <c:pt idx="4">
                  <c:v>237805.57814993401</c:v>
                </c:pt>
                <c:pt idx="5">
                  <c:v>241044.33758263206</c:v>
                </c:pt>
                <c:pt idx="6">
                  <c:v>249952.82533644442</c:v>
                </c:pt>
                <c:pt idx="7">
                  <c:v>318229.54848823004</c:v>
                </c:pt>
                <c:pt idx="8">
                  <c:v>279846.89207947272</c:v>
                </c:pt>
                <c:pt idx="9">
                  <c:v>347134.89440299309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5A-451A-A44E-852F150AC73E}"/>
            </c:ext>
          </c:extLst>
        </c:ser>
        <c:ser>
          <c:idx val="6"/>
          <c:order val="6"/>
          <c:tx>
            <c:strRef>
              <c:f>analysis!$I$32</c:f>
              <c:strCache>
                <c:ptCount val="1"/>
                <c:pt idx="0">
                  <c:v>STOXX Europe 600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analysis!$I$33:$I$42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164633.61432940586</c:v>
                </c:pt>
                <c:pt idx="2">
                  <c:v>193891.19675982758</c:v>
                </c:pt>
                <c:pt idx="3">
                  <c:v>233169.8092404927</c:v>
                </c:pt>
                <c:pt idx="4">
                  <c:v>248913.18606360315</c:v>
                </c:pt>
                <c:pt idx="5">
                  <c:v>271422.77279712341</c:v>
                </c:pt>
                <c:pt idx="6">
                  <c:v>273765.49176987057</c:v>
                </c:pt>
                <c:pt idx="7">
                  <c:v>300392.91153505124</c:v>
                </c:pt>
                <c:pt idx="8">
                  <c:v>266218.90790844866</c:v>
                </c:pt>
                <c:pt idx="9">
                  <c:v>333467.52751265891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5A-451A-A44E-852F150AC73E}"/>
            </c:ext>
          </c:extLst>
        </c:ser>
        <c:ser>
          <c:idx val="7"/>
          <c:order val="7"/>
          <c:tx>
            <c:strRef>
              <c:f>analysis!$J$32</c:f>
              <c:strCache>
                <c:ptCount val="1"/>
                <c:pt idx="0">
                  <c:v>S&amp;P Europe 350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analysis!$J$33:$J$42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165879.51612488148</c:v>
                </c:pt>
                <c:pt idx="2">
                  <c:v>194281.05679411668</c:v>
                </c:pt>
                <c:pt idx="3">
                  <c:v>233146.06724472065</c:v>
                </c:pt>
                <c:pt idx="4">
                  <c:v>249698.54848036575</c:v>
                </c:pt>
                <c:pt idx="5">
                  <c:v>268243.08259036823</c:v>
                </c:pt>
                <c:pt idx="6">
                  <c:v>272851.31509100081</c:v>
                </c:pt>
                <c:pt idx="7">
                  <c:v>297842.09396084904</c:v>
                </c:pt>
                <c:pt idx="8">
                  <c:v>264617.98752228497</c:v>
                </c:pt>
                <c:pt idx="9">
                  <c:v>329962.76101107663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5A-451A-A44E-852F150AC73E}"/>
            </c:ext>
          </c:extLst>
        </c:ser>
        <c:ser>
          <c:idx val="8"/>
          <c:order val="8"/>
          <c:tx>
            <c:strRef>
              <c:f>analysis!$K$32</c:f>
              <c:strCache>
                <c:ptCount val="1"/>
                <c:pt idx="0">
                  <c:v>Euro Stoxx 50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analysis!$K$33:$K$42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154381.09889417712</c:v>
                </c:pt>
                <c:pt idx="2">
                  <c:v>181265.43783131306</c:v>
                </c:pt>
                <c:pt idx="3">
                  <c:v>219397.12140214359</c:v>
                </c:pt>
                <c:pt idx="4">
                  <c:v>227638.49620242731</c:v>
                </c:pt>
                <c:pt idx="5">
                  <c:v>241999.1377883364</c:v>
                </c:pt>
                <c:pt idx="6">
                  <c:v>249302.56429196353</c:v>
                </c:pt>
                <c:pt idx="7">
                  <c:v>271073.60696074436</c:v>
                </c:pt>
                <c:pt idx="8">
                  <c:v>237796.07113212405</c:v>
                </c:pt>
                <c:pt idx="9">
                  <c:v>302320.20437008963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F-468A-BD9D-2C419C08FAA8}"/>
            </c:ext>
          </c:extLst>
        </c:ser>
        <c:ser>
          <c:idx val="9"/>
          <c:order val="9"/>
          <c:tx>
            <c:strRef>
              <c:f>analysis!$L$32</c:f>
              <c:strCache>
                <c:ptCount val="1"/>
                <c:pt idx="0">
                  <c:v>PSI20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analysis!$B$33:$B$42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analysis!$L$33:$L$42</c:f>
              <c:numCache>
                <c:formatCode>_-[$€-2]\ * #,##0.00_-;\-[$€-2]\ * #,##0.00_-;_-[$€-2]\ * "-"??_-;_-@_-</c:formatCode>
                <c:ptCount val="10"/>
                <c:pt idx="0">
                  <c:v>179369.67845012443</c:v>
                </c:pt>
                <c:pt idx="1">
                  <c:v>135471.53176638344</c:v>
                </c:pt>
                <c:pt idx="2">
                  <c:v>145038.32990891661</c:v>
                </c:pt>
                <c:pt idx="3">
                  <c:v>173815.635327639</c:v>
                </c:pt>
                <c:pt idx="4">
                  <c:v>132777.70581443183</c:v>
                </c:pt>
                <c:pt idx="5">
                  <c:v>152728.46304706403</c:v>
                </c:pt>
                <c:pt idx="6">
                  <c:v>139991.00664197325</c:v>
                </c:pt>
                <c:pt idx="7">
                  <c:v>166806.56112565048</c:v>
                </c:pt>
                <c:pt idx="8">
                  <c:v>152072.14253194988</c:v>
                </c:pt>
                <c:pt idx="9">
                  <c:v>173185.43143284036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F-468A-BD9D-2C419C08F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52320"/>
        <c:axId val="655304096"/>
      </c:lineChart>
      <c:catAx>
        <c:axId val="9826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04096"/>
        <c:crosses val="autoZero"/>
        <c:auto val="1"/>
        <c:lblAlgn val="ctr"/>
        <c:lblOffset val="100"/>
        <c:noMultiLvlLbl val="0"/>
      </c:catAx>
      <c:valAx>
        <c:axId val="6553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65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44</xdr:row>
      <xdr:rowOff>76199</xdr:rowOff>
    </xdr:from>
    <xdr:to>
      <xdr:col>11</xdr:col>
      <xdr:colOff>971550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09EC15-039D-49C9-97F9-EBF4D53FF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E6A4-2054-4CED-BA54-B0474642C8E6}">
  <sheetPr>
    <pageSetUpPr autoPageBreaks="0"/>
  </sheetPr>
  <dimension ref="B3:K42"/>
  <sheetViews>
    <sheetView showGridLines="0" tabSelected="1" workbookViewId="0"/>
  </sheetViews>
  <sheetFormatPr defaultRowHeight="15" x14ac:dyDescent="0.25"/>
  <cols>
    <col min="1" max="1" width="1.7109375" customWidth="1"/>
    <col min="2" max="2" width="25.7109375" bestFit="1" customWidth="1"/>
    <col min="3" max="11" width="12.85546875" customWidth="1"/>
  </cols>
  <sheetData>
    <row r="3" spans="2:11" ht="30" x14ac:dyDescent="0.25">
      <c r="C3" s="39" t="s">
        <v>7</v>
      </c>
      <c r="D3" s="39" t="s">
        <v>10</v>
      </c>
      <c r="E3" s="39" t="s">
        <v>6</v>
      </c>
      <c r="F3" s="39" t="s">
        <v>5</v>
      </c>
      <c r="G3" s="39" t="s">
        <v>4</v>
      </c>
      <c r="H3" s="39" t="s">
        <v>3</v>
      </c>
      <c r="I3" s="39" t="s">
        <v>2</v>
      </c>
      <c r="J3" s="39" t="s">
        <v>1</v>
      </c>
      <c r="K3" s="39" t="s">
        <v>0</v>
      </c>
    </row>
    <row r="4" spans="2:11" x14ac:dyDescent="0.25">
      <c r="B4" s="106" t="s">
        <v>39</v>
      </c>
      <c r="C4" s="76">
        <v>43951</v>
      </c>
      <c r="D4" s="76">
        <v>43921</v>
      </c>
      <c r="E4" s="76">
        <v>43921</v>
      </c>
      <c r="F4" s="76">
        <v>43951</v>
      </c>
      <c r="G4" s="76">
        <v>43921</v>
      </c>
      <c r="H4" s="76">
        <v>43921</v>
      </c>
      <c r="I4" s="76">
        <v>43951</v>
      </c>
      <c r="J4" s="76">
        <v>43921</v>
      </c>
      <c r="K4" s="76">
        <v>43921</v>
      </c>
    </row>
    <row r="5" spans="2:11" x14ac:dyDescent="0.25">
      <c r="B5" s="106" t="s">
        <v>52</v>
      </c>
      <c r="C5" s="77" t="str">
        <f>HYPERLINK("https://us.spindices.com/indices/equity/sp-global-1200","link")</f>
        <v>link</v>
      </c>
      <c r="D5" s="77" t="str">
        <f>HYPERLINK("https://www.msci.com/developed-markets","link")</f>
        <v>link</v>
      </c>
      <c r="E5" s="77" t="str">
        <f>HYPERLINK("https://www.msci.com/acwi","link")</f>
        <v>link</v>
      </c>
      <c r="F5" s="77" t="str">
        <f>HYPERLINK("https://us.spindices.com/indices/equity/sp-500","link")</f>
        <v>link</v>
      </c>
      <c r="G5" s="77" t="str">
        <f>HYPERLINK("https://www.msci.com/developed-markets","link")</f>
        <v>link</v>
      </c>
      <c r="H5" s="78" t="str">
        <f>HYPERLINK("https://www.stoxx.com/index-details?symbol=SXXP","link")</f>
        <v>link</v>
      </c>
      <c r="I5" s="78" t="str">
        <f>HYPERLINK("https://us.spindices.com/indices/equity/sp-europe-350","link")</f>
        <v>link</v>
      </c>
      <c r="J5" s="78" t="str">
        <f>HYPERLINK("https://www.stoxx.com/index-details?symbol=SX5E","link")</f>
        <v>link</v>
      </c>
      <c r="K5" s="78" t="str">
        <f>HYPERLINK("https://live.euronext.com/en/product/indices/PTING0200002-XLIS","link")</f>
        <v>link</v>
      </c>
    </row>
    <row r="6" spans="2:11" x14ac:dyDescent="0.25">
      <c r="C6" s="77"/>
      <c r="D6" s="77"/>
      <c r="E6" s="77"/>
      <c r="F6" s="77"/>
      <c r="G6" s="77"/>
      <c r="H6" s="78"/>
      <c r="I6" s="78"/>
      <c r="J6" s="78"/>
      <c r="K6" s="78"/>
    </row>
    <row r="7" spans="2:11" x14ac:dyDescent="0.25">
      <c r="B7" s="103" t="s">
        <v>22</v>
      </c>
      <c r="C7" s="102">
        <v>1220</v>
      </c>
      <c r="D7" s="102">
        <v>1650</v>
      </c>
      <c r="E7" s="102">
        <v>3000</v>
      </c>
      <c r="F7" s="102">
        <v>505</v>
      </c>
      <c r="G7" s="102">
        <v>918</v>
      </c>
      <c r="H7" s="102">
        <v>600</v>
      </c>
      <c r="I7" s="102">
        <v>362</v>
      </c>
      <c r="J7" s="102">
        <v>50</v>
      </c>
      <c r="K7" s="102">
        <v>20</v>
      </c>
    </row>
    <row r="8" spans="2:11" ht="24.95" customHeight="1" x14ac:dyDescent="0.25">
      <c r="B8" s="79" t="s">
        <v>23</v>
      </c>
    </row>
    <row r="9" spans="2:11" x14ac:dyDescent="0.25">
      <c r="B9" s="90" t="s">
        <v>57</v>
      </c>
      <c r="C9" s="91">
        <v>35135.32</v>
      </c>
      <c r="D9" s="91">
        <v>21293.96</v>
      </c>
      <c r="E9" s="91">
        <v>13048.78</v>
      </c>
      <c r="F9" s="91">
        <v>50416.14</v>
      </c>
      <c r="G9" s="91">
        <v>12403.27</v>
      </c>
      <c r="H9" s="92" t="s">
        <v>30</v>
      </c>
      <c r="I9" s="91">
        <v>22315.3</v>
      </c>
      <c r="J9" s="92" t="s">
        <v>30</v>
      </c>
      <c r="K9" s="92" t="s">
        <v>30</v>
      </c>
    </row>
    <row r="10" spans="2:11" x14ac:dyDescent="0.25">
      <c r="B10" s="80" t="s">
        <v>58</v>
      </c>
      <c r="C10" s="88">
        <v>1367158.32</v>
      </c>
      <c r="D10" s="88">
        <v>1142981.99</v>
      </c>
      <c r="E10" s="88">
        <v>1142981.99</v>
      </c>
      <c r="F10" s="88">
        <v>1367158.32</v>
      </c>
      <c r="G10" s="88">
        <v>305889.31</v>
      </c>
      <c r="H10" s="86" t="s">
        <v>30</v>
      </c>
      <c r="I10" s="88">
        <v>286785.15000000002</v>
      </c>
      <c r="J10" s="86" t="s">
        <v>30</v>
      </c>
      <c r="K10" s="86" t="s">
        <v>30</v>
      </c>
    </row>
    <row r="11" spans="2:11" x14ac:dyDescent="0.25">
      <c r="B11" s="93" t="s">
        <v>59</v>
      </c>
      <c r="C11" s="94">
        <v>748.37</v>
      </c>
      <c r="D11" s="94">
        <v>337.37</v>
      </c>
      <c r="E11" s="94">
        <v>89.03</v>
      </c>
      <c r="F11" s="94">
        <v>1961.06</v>
      </c>
      <c r="G11" s="94">
        <v>337.37</v>
      </c>
      <c r="H11" s="18" t="s">
        <v>30</v>
      </c>
      <c r="I11" s="94">
        <v>1952.66</v>
      </c>
      <c r="J11" s="18" t="s">
        <v>30</v>
      </c>
      <c r="K11" s="18" t="s">
        <v>30</v>
      </c>
    </row>
    <row r="12" spans="2:11" x14ac:dyDescent="0.25">
      <c r="B12" s="83" t="s">
        <v>60</v>
      </c>
      <c r="C12" s="89">
        <v>15926.93</v>
      </c>
      <c r="D12" s="89">
        <v>8123.75</v>
      </c>
      <c r="E12" s="89">
        <v>3548.41</v>
      </c>
      <c r="F12" s="89">
        <v>19820.689999999999</v>
      </c>
      <c r="G12" s="89">
        <v>5826.2</v>
      </c>
      <c r="H12" s="87" t="s">
        <v>30</v>
      </c>
      <c r="I12" s="89">
        <v>12339.21</v>
      </c>
      <c r="J12" s="87" t="s">
        <v>30</v>
      </c>
      <c r="K12" s="87" t="s">
        <v>30</v>
      </c>
    </row>
    <row r="13" spans="2:11" ht="24.95" customHeight="1" x14ac:dyDescent="0.25">
      <c r="B13" s="79" t="s">
        <v>50</v>
      </c>
    </row>
    <row r="14" spans="2:11" x14ac:dyDescent="0.25">
      <c r="B14" s="90" t="s">
        <v>40</v>
      </c>
      <c r="C14" s="95">
        <v>0.20100000000000001</v>
      </c>
      <c r="D14" s="95">
        <v>0.19109999999999999</v>
      </c>
      <c r="E14" s="95">
        <v>0.18840000000000001</v>
      </c>
      <c r="F14" s="95">
        <f>25.7*(1/100)</f>
        <v>0.25700000000000001</v>
      </c>
      <c r="G14" s="95">
        <f>7.61*(1/100)</f>
        <v>7.6100000000000001E-2</v>
      </c>
      <c r="H14" s="95">
        <v>7.0800000000000002E-2</v>
      </c>
      <c r="I14" s="95">
        <v>6.9000000000000006E-2</v>
      </c>
      <c r="J14" s="95">
        <v>0.12870000000000001</v>
      </c>
      <c r="K14" s="92" t="s">
        <v>30</v>
      </c>
    </row>
    <row r="15" spans="2:11" x14ac:dyDescent="0.25">
      <c r="B15" s="80" t="s">
        <v>41</v>
      </c>
      <c r="C15" s="81">
        <v>0.14199999999999999</v>
      </c>
      <c r="D15" s="81">
        <v>0.1457</v>
      </c>
      <c r="E15" s="81">
        <v>0.13250000000000001</v>
      </c>
      <c r="F15" s="81">
        <f>15.4*(1/100)</f>
        <v>0.154</v>
      </c>
      <c r="G15" s="81">
        <f>14.33*(1/100)</f>
        <v>0.14330000000000001</v>
      </c>
      <c r="H15" s="81">
        <v>0.1678</v>
      </c>
      <c r="I15" s="81">
        <v>0.17399999999999999</v>
      </c>
      <c r="J15" s="81">
        <v>0.1004</v>
      </c>
      <c r="K15" s="86" t="s">
        <v>30</v>
      </c>
    </row>
    <row r="16" spans="2:11" x14ac:dyDescent="0.25">
      <c r="B16" s="93" t="s">
        <v>42</v>
      </c>
      <c r="C16" s="96">
        <v>0.13500000000000001</v>
      </c>
      <c r="D16" s="96">
        <v>0.13469999999999999</v>
      </c>
      <c r="E16" s="96">
        <v>0.14449999999999999</v>
      </c>
      <c r="F16" s="96">
        <f>10.6*(1/100)</f>
        <v>0.106</v>
      </c>
      <c r="G16" s="96">
        <f>16.45*(1/100)</f>
        <v>0.16450000000000001</v>
      </c>
      <c r="H16" s="96">
        <v>0.1525</v>
      </c>
      <c r="I16" s="96">
        <v>0.152</v>
      </c>
      <c r="J16" s="96">
        <v>0.14280000000000001</v>
      </c>
      <c r="K16" s="18" t="s">
        <v>30</v>
      </c>
    </row>
    <row r="17" spans="2:11" x14ac:dyDescent="0.25">
      <c r="B17" s="80" t="s">
        <v>43</v>
      </c>
      <c r="C17" s="81">
        <v>0.10299999999999999</v>
      </c>
      <c r="D17" s="81">
        <v>0.1021</v>
      </c>
      <c r="E17" s="81">
        <v>0.10829999999999999</v>
      </c>
      <c r="F17" s="81">
        <f>10.5*(1/100)</f>
        <v>0.105</v>
      </c>
      <c r="G17" s="81">
        <f>11.08*(1/100)</f>
        <v>0.11080000000000001</v>
      </c>
      <c r="H17" s="81">
        <v>9.3200000000000005E-2</v>
      </c>
      <c r="I17" s="81">
        <v>9.2999999999999999E-2</v>
      </c>
      <c r="J17" s="81">
        <v>0.13869999999999999</v>
      </c>
      <c r="K17" s="86" t="s">
        <v>30</v>
      </c>
    </row>
    <row r="18" spans="2:11" x14ac:dyDescent="0.25">
      <c r="B18" s="93" t="s">
        <v>51</v>
      </c>
      <c r="C18" s="96">
        <v>9.7000000000000003E-2</v>
      </c>
      <c r="D18" s="96">
        <v>8.7999999999999995E-2</v>
      </c>
      <c r="E18" s="96">
        <v>9.3100000000000002E-2</v>
      </c>
      <c r="F18" s="96">
        <f>10.8*(1/100)</f>
        <v>0.10800000000000001</v>
      </c>
      <c r="G18" s="96">
        <f>5.52*(1/100)</f>
        <v>5.5199999999999999E-2</v>
      </c>
      <c r="H18" s="96">
        <v>4.0800000000000003E-2</v>
      </c>
      <c r="I18" s="96">
        <v>3.9E-2</v>
      </c>
      <c r="J18" s="96">
        <v>4.82E-2</v>
      </c>
      <c r="K18" s="18" t="s">
        <v>30</v>
      </c>
    </row>
    <row r="19" spans="2:11" x14ac:dyDescent="0.25">
      <c r="B19" s="80" t="s">
        <v>44</v>
      </c>
      <c r="C19" s="81">
        <v>9.6000000000000002E-2</v>
      </c>
      <c r="D19" s="81">
        <v>0.1027</v>
      </c>
      <c r="E19" s="81">
        <v>9.64E-2</v>
      </c>
      <c r="F19" s="81">
        <f>7.9*(1/100)</f>
        <v>7.9000000000000001E-2</v>
      </c>
      <c r="G19" s="81">
        <f>14.23*(1/100)</f>
        <v>0.14230000000000001</v>
      </c>
      <c r="H19" s="81">
        <v>0.1293</v>
      </c>
      <c r="I19" s="81">
        <v>0.13200000000000001</v>
      </c>
      <c r="J19" s="81">
        <v>0.11609999999999999</v>
      </c>
      <c r="K19" s="86" t="s">
        <v>30</v>
      </c>
    </row>
    <row r="20" spans="2:11" x14ac:dyDescent="0.25">
      <c r="B20" s="93" t="s">
        <v>45</v>
      </c>
      <c r="C20" s="96">
        <v>8.5999999999999993E-2</v>
      </c>
      <c r="D20" s="96">
        <v>9.1200000000000003E-2</v>
      </c>
      <c r="E20" s="96">
        <v>8.8200000000000001E-2</v>
      </c>
      <c r="F20" s="96">
        <f>7.4*(1/100)</f>
        <v>7.400000000000001E-2</v>
      </c>
      <c r="G20" s="96">
        <f>12.64*(1/100)</f>
        <v>0.12640000000000001</v>
      </c>
      <c r="H20" s="96">
        <v>0.14199999999999999</v>
      </c>
      <c r="I20" s="96">
        <v>0.154</v>
      </c>
      <c r="J20" s="96">
        <v>0.1077</v>
      </c>
      <c r="K20" s="18" t="s">
        <v>30</v>
      </c>
    </row>
    <row r="21" spans="2:11" x14ac:dyDescent="0.25">
      <c r="B21" s="80" t="s">
        <v>47</v>
      </c>
      <c r="C21" s="81">
        <v>3.6999999999999998E-2</v>
      </c>
      <c r="D21" s="81">
        <v>3.4200000000000001E-2</v>
      </c>
      <c r="E21" s="81">
        <v>3.7100000000000001E-2</v>
      </c>
      <c r="F21" s="81">
        <f>3*(1/100)</f>
        <v>0.03</v>
      </c>
      <c r="G21" s="81">
        <f>3.96*(1/100)</f>
        <v>3.9600000000000003E-2</v>
      </c>
      <c r="H21" s="81">
        <v>4.3400000000000001E-2</v>
      </c>
      <c r="I21" s="81">
        <v>5.2999999999999999E-2</v>
      </c>
      <c r="J21" s="81">
        <v>5.0900000000000001E-2</v>
      </c>
      <c r="K21" s="86" t="s">
        <v>30</v>
      </c>
    </row>
    <row r="22" spans="2:11" x14ac:dyDescent="0.25">
      <c r="B22" s="93" t="s">
        <v>46</v>
      </c>
      <c r="C22" s="96">
        <v>3.3000000000000002E-2</v>
      </c>
      <c r="D22" s="96">
        <v>3.7600000000000001E-2</v>
      </c>
      <c r="E22" s="96">
        <v>3.5999999999999997E-2</v>
      </c>
      <c r="F22" s="96">
        <f>3.3*(1/100)</f>
        <v>3.3000000000000002E-2</v>
      </c>
      <c r="G22" s="96">
        <f>4.2*(1/100)</f>
        <v>4.2000000000000003E-2</v>
      </c>
      <c r="H22" s="96">
        <v>4.6399999999999997E-2</v>
      </c>
      <c r="I22" s="96">
        <v>4.8000000000000001E-2</v>
      </c>
      <c r="J22" s="96">
        <v>5.7200000000000001E-2</v>
      </c>
      <c r="K22" s="18" t="s">
        <v>30</v>
      </c>
    </row>
    <row r="23" spans="2:11" x14ac:dyDescent="0.25">
      <c r="B23" s="80" t="s">
        <v>48</v>
      </c>
      <c r="C23" s="81">
        <v>2.5999999999999999E-2</v>
      </c>
      <c r="D23" s="81">
        <v>3.1800000000000002E-2</v>
      </c>
      <c r="E23" s="81">
        <v>3.15E-2</v>
      </c>
      <c r="F23" s="81">
        <f>2.9*(1/100)</f>
        <v>2.8999999999999998E-2</v>
      </c>
      <c r="G23" s="81">
        <f>3.3*(1/100)</f>
        <v>3.3000000000000002E-2</v>
      </c>
      <c r="H23" s="81">
        <v>2.1299999999999999E-2</v>
      </c>
      <c r="I23" s="81">
        <v>1.4E-2</v>
      </c>
      <c r="J23" s="81">
        <v>0</v>
      </c>
      <c r="K23" s="86" t="s">
        <v>30</v>
      </c>
    </row>
    <row r="24" spans="2:11" x14ac:dyDescent="0.25">
      <c r="B24" s="97" t="s">
        <v>49</v>
      </c>
      <c r="C24" s="98">
        <v>4.2999999999999997E-2</v>
      </c>
      <c r="D24" s="98">
        <v>4.0899999999999999E-2</v>
      </c>
      <c r="E24" s="98">
        <v>4.3999999999999997E-2</v>
      </c>
      <c r="F24" s="98">
        <f>2.5*(1/100)</f>
        <v>2.5000000000000001E-2</v>
      </c>
      <c r="G24" s="98">
        <f>6.69*(1/100)</f>
        <v>6.6900000000000001E-2</v>
      </c>
      <c r="H24" s="98">
        <v>8.2699999999999996E-2</v>
      </c>
      <c r="I24" s="98">
        <v>7.1999999999999995E-2</v>
      </c>
      <c r="J24" s="98">
        <v>0.1007</v>
      </c>
      <c r="K24" s="99" t="s">
        <v>30</v>
      </c>
    </row>
    <row r="25" spans="2:11" ht="24.95" customHeight="1" x14ac:dyDescent="0.25">
      <c r="B25" s="79" t="s">
        <v>31</v>
      </c>
    </row>
    <row r="26" spans="2:11" x14ac:dyDescent="0.25">
      <c r="B26" s="90" t="s">
        <v>32</v>
      </c>
      <c r="C26" s="95">
        <f>63.1*(1/100)</f>
        <v>0.63100000000000001</v>
      </c>
      <c r="D26" s="95">
        <v>0.64339999999999997</v>
      </c>
      <c r="E26" s="95">
        <v>0.56620000000000004</v>
      </c>
      <c r="F26" s="95">
        <v>1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</row>
    <row r="27" spans="2:11" x14ac:dyDescent="0.25">
      <c r="B27" s="80" t="s">
        <v>33</v>
      </c>
      <c r="C27" s="81">
        <f>7.3*(1/100)</f>
        <v>7.2999999999999995E-2</v>
      </c>
      <c r="D27" s="81">
        <v>8.5599999999999996E-2</v>
      </c>
      <c r="E27" s="81">
        <v>7.5300000000000006E-2</v>
      </c>
      <c r="F27" s="81">
        <v>0</v>
      </c>
      <c r="G27" s="81">
        <v>0.26290000000000002</v>
      </c>
      <c r="H27" s="81">
        <v>0</v>
      </c>
      <c r="I27" s="81">
        <v>0</v>
      </c>
      <c r="J27" s="81">
        <v>0</v>
      </c>
      <c r="K27" s="81">
        <v>0</v>
      </c>
    </row>
    <row r="28" spans="2:11" x14ac:dyDescent="0.25">
      <c r="B28" s="93" t="s">
        <v>34</v>
      </c>
      <c r="C28" s="96">
        <f>4.7*(1/100)</f>
        <v>4.7E-2</v>
      </c>
      <c r="D28" s="96">
        <v>4.9099999999999998E-2</v>
      </c>
      <c r="E28" s="96">
        <v>4.3200000000000002E-2</v>
      </c>
      <c r="F28" s="96">
        <v>0</v>
      </c>
      <c r="G28" s="96">
        <v>0.151</v>
      </c>
      <c r="H28" s="96">
        <v>0.24</v>
      </c>
      <c r="I28" s="96">
        <v>0.25</v>
      </c>
      <c r="J28" s="96">
        <v>0</v>
      </c>
      <c r="K28" s="96">
        <v>0</v>
      </c>
    </row>
    <row r="29" spans="2:11" x14ac:dyDescent="0.25">
      <c r="B29" s="80" t="s">
        <v>35</v>
      </c>
      <c r="C29" s="81">
        <f>3.4*(1/100)</f>
        <v>3.4000000000000002E-2</v>
      </c>
      <c r="D29" s="81">
        <v>3.4799999999999998E-2</v>
      </c>
      <c r="E29" s="81">
        <v>2.9000000000000001E-2</v>
      </c>
      <c r="F29" s="81">
        <v>0</v>
      </c>
      <c r="G29" s="81">
        <v>0.107</v>
      </c>
      <c r="H29" s="81">
        <v>0.16700000000000001</v>
      </c>
      <c r="I29" s="81">
        <v>0.17899999999999999</v>
      </c>
      <c r="J29" s="81">
        <v>0</v>
      </c>
      <c r="K29" s="81">
        <v>0</v>
      </c>
    </row>
    <row r="30" spans="2:11" x14ac:dyDescent="0.25">
      <c r="B30" s="93" t="s">
        <v>36</v>
      </c>
      <c r="C30" s="96">
        <f>3.1*(1/100)</f>
        <v>3.1000000000000003E-2</v>
      </c>
      <c r="D30" s="100" t="s">
        <v>30</v>
      </c>
      <c r="E30" s="96">
        <v>2.8000000000000001E-2</v>
      </c>
      <c r="F30" s="96">
        <v>0</v>
      </c>
      <c r="G30" s="68">
        <v>0</v>
      </c>
      <c r="H30" s="96">
        <v>0</v>
      </c>
      <c r="I30" s="96">
        <v>0</v>
      </c>
      <c r="J30" s="96">
        <v>0</v>
      </c>
      <c r="K30" s="96">
        <v>0</v>
      </c>
    </row>
    <row r="31" spans="2:11" x14ac:dyDescent="0.25">
      <c r="B31" s="80" t="s">
        <v>37</v>
      </c>
      <c r="C31" s="81">
        <f>3.1*(1/100)</f>
        <v>3.1000000000000003E-2</v>
      </c>
      <c r="D31" s="81">
        <v>3.5099999999999999E-2</v>
      </c>
      <c r="E31" s="81">
        <v>3.09E-2</v>
      </c>
      <c r="F31" s="81">
        <v>0</v>
      </c>
      <c r="G31" s="81">
        <v>0.10780000000000001</v>
      </c>
      <c r="H31" s="81">
        <v>0.16500000000000001</v>
      </c>
      <c r="I31" s="81">
        <v>0.16300000000000001</v>
      </c>
      <c r="J31" s="81">
        <v>0.38700000000000001</v>
      </c>
      <c r="K31" s="81">
        <v>0</v>
      </c>
    </row>
    <row r="32" spans="2:11" x14ac:dyDescent="0.25">
      <c r="B32" s="93" t="s">
        <v>38</v>
      </c>
      <c r="C32" s="96">
        <f>2.6*(1/100)</f>
        <v>2.6000000000000002E-2</v>
      </c>
      <c r="D32" s="100" t="s">
        <v>30</v>
      </c>
      <c r="E32" s="68" t="s">
        <v>30</v>
      </c>
      <c r="F32" s="96">
        <v>0</v>
      </c>
      <c r="G32" s="96">
        <v>8.2600000000000007E-2</v>
      </c>
      <c r="H32" s="96">
        <v>0.14399999999999999</v>
      </c>
      <c r="I32" s="96">
        <v>0.13500000000000001</v>
      </c>
      <c r="J32" s="96">
        <v>0.32200000000000001</v>
      </c>
      <c r="K32" s="96">
        <v>0</v>
      </c>
    </row>
    <row r="33" spans="2:11" x14ac:dyDescent="0.25">
      <c r="B33" s="80" t="s">
        <v>55</v>
      </c>
      <c r="C33" s="82" t="s">
        <v>30</v>
      </c>
      <c r="D33" s="82" t="s">
        <v>30</v>
      </c>
      <c r="E33" s="82" t="s">
        <v>30</v>
      </c>
      <c r="F33" s="81">
        <v>0</v>
      </c>
      <c r="G33" s="82" t="s">
        <v>30</v>
      </c>
      <c r="H33" s="81">
        <v>6.0999999999999999E-2</v>
      </c>
      <c r="I33" s="81">
        <v>6.3E-2</v>
      </c>
      <c r="J33" s="81">
        <v>0.12</v>
      </c>
      <c r="K33" s="81">
        <v>0</v>
      </c>
    </row>
    <row r="34" spans="2:11" x14ac:dyDescent="0.25">
      <c r="B34" s="97" t="s">
        <v>56</v>
      </c>
      <c r="C34" s="101" t="s">
        <v>30</v>
      </c>
      <c r="D34" s="101" t="s">
        <v>30</v>
      </c>
      <c r="E34" s="101" t="s">
        <v>30</v>
      </c>
      <c r="F34" s="98">
        <v>0</v>
      </c>
      <c r="G34" s="101" t="s">
        <v>30</v>
      </c>
      <c r="H34" s="101" t="s">
        <v>30</v>
      </c>
      <c r="I34" s="101" t="s">
        <v>30</v>
      </c>
      <c r="J34" s="101" t="s">
        <v>30</v>
      </c>
      <c r="K34" s="101">
        <v>1</v>
      </c>
    </row>
    <row r="35" spans="2:11" ht="24.95" customHeight="1" x14ac:dyDescent="0.25">
      <c r="B35" s="79" t="s">
        <v>24</v>
      </c>
    </row>
    <row r="36" spans="2:11" x14ac:dyDescent="0.25">
      <c r="B36" s="90" t="s">
        <v>25</v>
      </c>
      <c r="C36" s="95">
        <v>1.9E-2</v>
      </c>
      <c r="D36" s="95">
        <v>0</v>
      </c>
      <c r="E36" s="95">
        <v>4.8800000000000003E-2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</row>
    <row r="37" spans="2:11" x14ac:dyDescent="0.25">
      <c r="B37" s="80" t="s">
        <v>26</v>
      </c>
      <c r="C37" s="81">
        <v>8.9999999999999993E-3</v>
      </c>
      <c r="D37" s="81">
        <v>0</v>
      </c>
      <c r="E37" s="81">
        <v>1.5599999999999999E-2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</row>
    <row r="38" spans="2:11" x14ac:dyDescent="0.25">
      <c r="B38" s="93" t="s">
        <v>28</v>
      </c>
      <c r="C38" s="96">
        <v>0.01</v>
      </c>
      <c r="D38" s="96">
        <v>0</v>
      </c>
      <c r="E38" s="96">
        <v>1.4E-2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</row>
    <row r="39" spans="2:11" x14ac:dyDescent="0.25">
      <c r="B39" s="80" t="s">
        <v>27</v>
      </c>
      <c r="C39" s="81">
        <v>8.0000000000000002E-3</v>
      </c>
      <c r="D39" s="81">
        <v>1.1900000000000001E-2</v>
      </c>
      <c r="E39" s="81">
        <v>1.0500000000000001E-2</v>
      </c>
      <c r="F39" s="81">
        <v>0</v>
      </c>
      <c r="G39" s="82" t="s">
        <v>30</v>
      </c>
      <c r="H39" s="81">
        <v>0</v>
      </c>
      <c r="I39" s="81">
        <v>0</v>
      </c>
      <c r="J39" s="81">
        <v>0</v>
      </c>
      <c r="K39" s="81">
        <v>0</v>
      </c>
    </row>
    <row r="40" spans="2:11" x14ac:dyDescent="0.25">
      <c r="B40" s="93" t="s">
        <v>29</v>
      </c>
      <c r="C40" s="96">
        <v>4.0000000000000001E-3</v>
      </c>
      <c r="D40" s="68">
        <v>0</v>
      </c>
      <c r="E40" s="68" t="s">
        <v>30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</row>
    <row r="41" spans="2:11" x14ac:dyDescent="0.25">
      <c r="B41" s="83" t="s">
        <v>53</v>
      </c>
      <c r="C41" s="84">
        <v>2E-3</v>
      </c>
      <c r="D41" s="85" t="s">
        <v>30</v>
      </c>
      <c r="E41" s="85" t="s">
        <v>30</v>
      </c>
      <c r="F41" s="84">
        <v>0</v>
      </c>
      <c r="G41" s="85" t="s">
        <v>30</v>
      </c>
      <c r="H41" s="84">
        <v>0</v>
      </c>
      <c r="I41" s="84">
        <v>0</v>
      </c>
      <c r="J41" s="84">
        <v>0</v>
      </c>
      <c r="K41" s="84">
        <v>0</v>
      </c>
    </row>
    <row r="42" spans="2:11" x14ac:dyDescent="0.25">
      <c r="B42" s="75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0C9F-050E-4BF6-B8DD-EBE7A9CCBA5C}">
  <sheetPr>
    <pageSetUpPr autoPageBreaks="0"/>
  </sheetPr>
  <dimension ref="A1:AB44"/>
  <sheetViews>
    <sheetView showGridLines="0" workbookViewId="0"/>
  </sheetViews>
  <sheetFormatPr defaultRowHeight="15" x14ac:dyDescent="0.25"/>
  <cols>
    <col min="1" max="1" width="1.7109375" customWidth="1"/>
    <col min="2" max="2" width="17.28515625" bestFit="1" customWidth="1"/>
    <col min="3" max="4" width="12.85546875" customWidth="1"/>
    <col min="5" max="6" width="14.7109375" bestFit="1" customWidth="1"/>
    <col min="7" max="7" width="14.7109375" customWidth="1"/>
    <col min="8" max="13" width="14.7109375" bestFit="1" customWidth="1"/>
    <col min="14" max="16" width="12" bestFit="1" customWidth="1"/>
    <col min="17" max="28" width="9.5703125" customWidth="1"/>
  </cols>
  <sheetData>
    <row r="1" spans="1:2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3"/>
      <c r="B2" s="38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3"/>
      <c r="B3" s="3" t="s">
        <v>18</v>
      </c>
      <c r="C3" s="104">
        <f>400*14</f>
        <v>5600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3"/>
      <c r="B4" s="3" t="s">
        <v>19</v>
      </c>
      <c r="C4" s="105">
        <v>0.02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7" customFormat="1" ht="30" customHeight="1" x14ac:dyDescent="0.25">
      <c r="A6" s="8"/>
      <c r="C6" s="39" t="s">
        <v>8</v>
      </c>
      <c r="D6" s="39" t="s">
        <v>7</v>
      </c>
      <c r="E6" s="39" t="s">
        <v>10</v>
      </c>
      <c r="F6" s="39" t="s">
        <v>6</v>
      </c>
      <c r="G6" s="39" t="s">
        <v>5</v>
      </c>
      <c r="H6" s="39" t="s">
        <v>4</v>
      </c>
      <c r="I6" s="39" t="s">
        <v>3</v>
      </c>
      <c r="J6" s="39" t="s">
        <v>2</v>
      </c>
      <c r="K6" s="39" t="s">
        <v>1</v>
      </c>
      <c r="L6" s="39" t="s"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7" customFormat="1" ht="15" customHeight="1" x14ac:dyDescent="0.25">
      <c r="A7" s="8"/>
      <c r="B7" s="40">
        <v>1986</v>
      </c>
      <c r="C7" s="41">
        <f>$C$3</f>
        <v>5600</v>
      </c>
      <c r="D7" s="42"/>
      <c r="E7" s="43"/>
      <c r="F7" s="42"/>
      <c r="G7" s="44">
        <f>C3</f>
        <v>5600</v>
      </c>
      <c r="H7" s="43"/>
      <c r="I7" s="43"/>
      <c r="J7" s="43"/>
      <c r="K7" s="44">
        <f>C3</f>
        <v>5600</v>
      </c>
      <c r="L7" s="4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25">
      <c r="A8" s="5"/>
      <c r="B8" s="46">
        <v>1987</v>
      </c>
      <c r="C8" s="47">
        <f>C7*(1+$C$4)+$C$3</f>
        <v>11312</v>
      </c>
      <c r="D8" s="47"/>
      <c r="E8" s="48"/>
      <c r="F8" s="47"/>
      <c r="G8" s="49">
        <f>G7*(1+indexes!M5)+$C$3</f>
        <v>11313.540168588515</v>
      </c>
      <c r="H8" s="49"/>
      <c r="I8" s="50"/>
      <c r="J8" s="50"/>
      <c r="K8" s="49">
        <f>K7*(1+indexes!V5)+$C$3</f>
        <v>9629.1378965831136</v>
      </c>
      <c r="L8" s="5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3"/>
      <c r="B9" s="52">
        <v>1988</v>
      </c>
      <c r="C9" s="53">
        <f>C8*(1+$C$4)+$C$3</f>
        <v>17138.239999999998</v>
      </c>
      <c r="D9" s="53"/>
      <c r="E9" s="54"/>
      <c r="F9" s="53"/>
      <c r="G9" s="55">
        <f>G8*(1+indexes!M6)+$C$3</f>
        <v>18316.514333417981</v>
      </c>
      <c r="H9" s="55"/>
      <c r="I9" s="56"/>
      <c r="J9" s="56"/>
      <c r="K9" s="55">
        <f>K8*(1+indexes!V6)+$C$3</f>
        <v>18397.05339762213</v>
      </c>
      <c r="L9" s="5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3"/>
      <c r="B10" s="46">
        <v>1989</v>
      </c>
      <c r="C10" s="47">
        <f t="shared" ref="C10:C42" si="0">C9*(1+$C$4)+$C$3</f>
        <v>23081.004799999999</v>
      </c>
      <c r="D10" s="47"/>
      <c r="E10" s="48"/>
      <c r="F10" s="47"/>
      <c r="G10" s="49">
        <f>G9*(1+indexes!M7)+$C$3</f>
        <v>28907.849748750461</v>
      </c>
      <c r="H10" s="49"/>
      <c r="I10" s="50"/>
      <c r="J10" s="50"/>
      <c r="K10" s="49">
        <f>K9*(1+indexes!V7)+$C$3</f>
        <v>29061.71076756981</v>
      </c>
      <c r="L10" s="5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3"/>
      <c r="B11" s="52">
        <v>1990</v>
      </c>
      <c r="C11" s="53">
        <f t="shared" si="0"/>
        <v>29142.624895999998</v>
      </c>
      <c r="D11" s="58"/>
      <c r="E11" s="54"/>
      <c r="F11" s="58"/>
      <c r="G11" s="55">
        <f>G10*(1+indexes!M8)+$C$3</f>
        <v>32611.744015310393</v>
      </c>
      <c r="H11" s="55"/>
      <c r="I11" s="56"/>
      <c r="J11" s="56"/>
      <c r="K11" s="55">
        <f>K10*(1+indexes!V8)+$C$3</f>
        <v>28318.34269800139</v>
      </c>
      <c r="L11" s="5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3"/>
      <c r="B12" s="46">
        <v>1991</v>
      </c>
      <c r="C12" s="47">
        <f t="shared" si="0"/>
        <v>35325.477393919995</v>
      </c>
      <c r="D12" s="47"/>
      <c r="E12" s="48"/>
      <c r="F12" s="47"/>
      <c r="G12" s="49">
        <f>G11*(1+indexes!M9)+$C$3</f>
        <v>46790.818665459439</v>
      </c>
      <c r="H12" s="49"/>
      <c r="I12" s="48"/>
      <c r="J12" s="48"/>
      <c r="K12" s="49">
        <f>K11*(1+indexes!V9)+$C$3</f>
        <v>38577.388086921681</v>
      </c>
      <c r="L12" s="5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3"/>
      <c r="B13" s="52">
        <v>1992</v>
      </c>
      <c r="C13" s="53">
        <f t="shared" si="0"/>
        <v>41631.986941798394</v>
      </c>
      <c r="D13" s="53"/>
      <c r="E13" s="54"/>
      <c r="F13" s="53"/>
      <c r="G13" s="55">
        <f>G12*(1+indexes!M10)+$C$3</f>
        <v>54479.683941424395</v>
      </c>
      <c r="H13" s="55"/>
      <c r="I13" s="54"/>
      <c r="J13" s="54"/>
      <c r="K13" s="55">
        <f>K12*(1+indexes!V10)+$C$3</f>
        <v>45470.116361714427</v>
      </c>
      <c r="L13" s="60">
        <f>C13</f>
        <v>41631.986941798394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B14" s="46">
        <v>1993</v>
      </c>
      <c r="C14" s="47">
        <f t="shared" si="0"/>
        <v>48064.626680634363</v>
      </c>
      <c r="D14" s="47"/>
      <c r="E14" s="48"/>
      <c r="F14" s="47"/>
      <c r="G14" s="49">
        <f>G13*(1+indexes!M11)+$C$3</f>
        <v>63923.310810271541</v>
      </c>
      <c r="H14" s="49"/>
      <c r="I14" s="48"/>
      <c r="J14" s="48"/>
      <c r="K14" s="49">
        <f>K13*(1+indexes!V11)+$C$3</f>
        <v>68660.963692562</v>
      </c>
      <c r="L14" s="61">
        <f>L13*(1+indexes!X11)+$C$3</f>
        <v>65107.235628418755</v>
      </c>
      <c r="V14" s="4"/>
      <c r="W14" s="4"/>
      <c r="X14" s="4"/>
      <c r="Y14" s="4"/>
      <c r="Z14" s="4"/>
      <c r="AA14" s="4"/>
      <c r="AB14" s="4"/>
    </row>
    <row r="15" spans="1:28" x14ac:dyDescent="0.25">
      <c r="A15" s="3"/>
      <c r="B15" s="52">
        <v>1994</v>
      </c>
      <c r="C15" s="53">
        <f t="shared" si="0"/>
        <v>54625.919214247049</v>
      </c>
      <c r="D15" s="53"/>
      <c r="E15" s="54"/>
      <c r="F15" s="53"/>
      <c r="G15" s="55">
        <f>G14*(1+indexes!M12)+$C$3</f>
        <v>68539.345047496725</v>
      </c>
      <c r="H15" s="55"/>
      <c r="I15" s="54"/>
      <c r="J15" s="54"/>
      <c r="K15" s="55">
        <f>K14*(1+indexes!V12)+$C$3</f>
        <v>68859.925797619857</v>
      </c>
      <c r="L15" s="60">
        <f>L14*(1+indexes!X12)+$C$3</f>
        <v>68720.656356616557</v>
      </c>
    </row>
    <row r="16" spans="1:28" x14ac:dyDescent="0.25">
      <c r="A16" s="3"/>
      <c r="B16" s="46">
        <v>1995</v>
      </c>
      <c r="C16" s="47">
        <f t="shared" si="0"/>
        <v>61318.437598531993</v>
      </c>
      <c r="D16" s="47"/>
      <c r="E16" s="48"/>
      <c r="F16" s="47"/>
      <c r="G16" s="49">
        <f>G15*(1+indexes!M13)+$C$3</f>
        <v>97518.564954021509</v>
      </c>
      <c r="H16" s="49"/>
      <c r="I16" s="48"/>
      <c r="J16" s="48"/>
      <c r="K16" s="49">
        <f>K15*(1+indexes!V13)+$C$3</f>
        <v>84170.573297063864</v>
      </c>
      <c r="L16" s="61">
        <f>L15*(1+indexes!X13)+$C$3</f>
        <v>70006.07856705843</v>
      </c>
    </row>
    <row r="17" spans="1:12" x14ac:dyDescent="0.25">
      <c r="A17" s="3"/>
      <c r="B17" s="52">
        <v>1996</v>
      </c>
      <c r="C17" s="53">
        <f t="shared" si="0"/>
        <v>68144.806350502637</v>
      </c>
      <c r="D17" s="53"/>
      <c r="E17" s="54"/>
      <c r="F17" s="53"/>
      <c r="G17" s="55">
        <f>G16*(1+indexes!M14)+$C$3</f>
        <v>122879.40131153225</v>
      </c>
      <c r="H17" s="55"/>
      <c r="I17" s="54"/>
      <c r="J17" s="54"/>
      <c r="K17" s="55">
        <f>K16*(1+indexes!V14)+$C$3</f>
        <v>108958.39395748876</v>
      </c>
      <c r="L17" s="60">
        <f>L16*(1+indexes!X14)+$C$3</f>
        <v>98067.194606084289</v>
      </c>
    </row>
    <row r="18" spans="1:12" x14ac:dyDescent="0.25">
      <c r="A18" s="3"/>
      <c r="B18" s="46">
        <v>1997</v>
      </c>
      <c r="C18" s="47">
        <f t="shared" si="0"/>
        <v>75107.702477512692</v>
      </c>
      <c r="D18" s="47"/>
      <c r="E18" s="48"/>
      <c r="F18" s="47"/>
      <c r="G18" s="49">
        <f>G17*(1+indexes!M15)+$C$3</f>
        <v>166582.0695040299</v>
      </c>
      <c r="H18" s="49"/>
      <c r="I18" s="48"/>
      <c r="J18" s="48"/>
      <c r="K18" s="49">
        <f>K17*(1+indexes!V15)+$C$3</f>
        <v>154699.37952160812</v>
      </c>
      <c r="L18" s="61">
        <f>L17*(1+indexes!X15)+$C$3</f>
        <v>173357.32370731435</v>
      </c>
    </row>
    <row r="19" spans="1:12" x14ac:dyDescent="0.25">
      <c r="A19" s="3"/>
      <c r="B19" s="52">
        <v>1998</v>
      </c>
      <c r="C19" s="53">
        <f t="shared" si="0"/>
        <v>82209.856527062948</v>
      </c>
      <c r="D19" s="53"/>
      <c r="E19" s="54"/>
      <c r="F19" s="53"/>
      <c r="G19" s="55">
        <f>G18*(1+indexes!M16)+$C$3</f>
        <v>216607.15707660254</v>
      </c>
      <c r="H19" s="55"/>
      <c r="I19" s="55">
        <f>C19</f>
        <v>82209.856527062948</v>
      </c>
      <c r="J19" s="54"/>
      <c r="K19" s="55">
        <f>K18*(1+indexes!V16)+$C$3</f>
        <v>209808.8752967671</v>
      </c>
      <c r="L19" s="60">
        <f>L18*(1+indexes!X16)+$C$3</f>
        <v>222189.2355166529</v>
      </c>
    </row>
    <row r="20" spans="1:12" x14ac:dyDescent="0.25">
      <c r="A20" s="3"/>
      <c r="B20" s="46">
        <v>1999</v>
      </c>
      <c r="C20" s="47">
        <f t="shared" si="0"/>
        <v>89454.053657604207</v>
      </c>
      <c r="D20" s="47"/>
      <c r="E20" s="48"/>
      <c r="F20" s="47"/>
      <c r="G20" s="49">
        <f>G19*(1+indexes!M17)+$C$3</f>
        <v>264501.97173257871</v>
      </c>
      <c r="H20" s="49"/>
      <c r="I20" s="49">
        <f>I19*(1+indexes!Q17)+$C$3</f>
        <v>117340.03744074184</v>
      </c>
      <c r="J20" s="49"/>
      <c r="K20" s="49">
        <f>K19*(1+indexes!V17)+$C$3</f>
        <v>313469.75410432939</v>
      </c>
      <c r="L20" s="61">
        <f>L19*(1+indexes!X17)+$C$3</f>
        <v>247214.31970496033</v>
      </c>
    </row>
    <row r="21" spans="1:12" x14ac:dyDescent="0.25">
      <c r="A21" s="3"/>
      <c r="B21" s="52">
        <v>2000</v>
      </c>
      <c r="C21" s="53">
        <f t="shared" si="0"/>
        <v>96843.134730756297</v>
      </c>
      <c r="D21" s="53"/>
      <c r="E21" s="54"/>
      <c r="F21" s="53"/>
      <c r="G21" s="55">
        <f>G20*(1+indexes!M18)+$C$3</f>
        <v>243283.62832033093</v>
      </c>
      <c r="H21" s="55"/>
      <c r="I21" s="55">
        <f>I20*(1+indexes!Q18)+$C$3</f>
        <v>116848.70766240088</v>
      </c>
      <c r="J21" s="54"/>
      <c r="K21" s="55">
        <f>K20*(1+indexes!V18)+$C$3</f>
        <v>310628.46792306605</v>
      </c>
      <c r="L21" s="60">
        <f>L20*(1+indexes!X18)+$C$3</f>
        <v>220644.34438825608</v>
      </c>
    </row>
    <row r="22" spans="1:12" x14ac:dyDescent="0.25">
      <c r="A22" s="3"/>
      <c r="B22" s="46">
        <v>2001</v>
      </c>
      <c r="C22" s="47">
        <f t="shared" si="0"/>
        <v>104379.99742537143</v>
      </c>
      <c r="D22" s="47"/>
      <c r="E22" s="48"/>
      <c r="F22" s="47"/>
      <c r="G22" s="49">
        <f>G21*(1+indexes!M19)+$C$3</f>
        <v>217152.89117648685</v>
      </c>
      <c r="H22" s="49">
        <f>C22</f>
        <v>104379.99742537143</v>
      </c>
      <c r="I22" s="49">
        <f>I21*(1+indexes!Q19)+$C$3</f>
        <v>102618.30078653942</v>
      </c>
      <c r="J22" s="48"/>
      <c r="K22" s="49">
        <f>K21*(1+indexes!V19)+$C$3</f>
        <v>253335.89975170078</v>
      </c>
      <c r="L22" s="61">
        <f>L21*(1+indexes!X19)+$C$3</f>
        <v>171686.02738280653</v>
      </c>
    </row>
    <row r="23" spans="1:12" x14ac:dyDescent="0.25">
      <c r="A23" s="3"/>
      <c r="B23" s="52">
        <v>2002</v>
      </c>
      <c r="C23" s="53">
        <f t="shared" si="0"/>
        <v>112067.59737387886</v>
      </c>
      <c r="D23" s="53"/>
      <c r="E23" s="54"/>
      <c r="F23" s="53"/>
      <c r="G23" s="55">
        <f>G22*(1+indexes!M20)+$C$3</f>
        <v>172013.02483898334</v>
      </c>
      <c r="H23" s="55">
        <f>H22*(1+indexes!O20)+analysis!$C$3</f>
        <v>93884.9118348107</v>
      </c>
      <c r="I23" s="55">
        <f>I22*(1+indexes!Q20)+$C$3</f>
        <v>74893.889581430485</v>
      </c>
      <c r="J23" s="54"/>
      <c r="K23" s="55">
        <f>K22*(1+indexes!V20)+$C$3</f>
        <v>164439.37871971168</v>
      </c>
      <c r="L23" s="60">
        <f>L22*(1+indexes!X20)+$C$3</f>
        <v>133292.12546994674</v>
      </c>
    </row>
    <row r="24" spans="1:12" x14ac:dyDescent="0.25">
      <c r="A24" s="3"/>
      <c r="B24" s="46">
        <v>2003</v>
      </c>
      <c r="C24" s="47">
        <f t="shared" si="0"/>
        <v>119908.94932135644</v>
      </c>
      <c r="D24" s="47"/>
      <c r="E24" s="48"/>
      <c r="F24" s="47"/>
      <c r="G24" s="49">
        <f>G23*(1+indexes!M21)+$C$3</f>
        <v>222990.74881884953</v>
      </c>
      <c r="H24" s="49">
        <f>H23*(1+indexes!O21)+analysis!$C$3</f>
        <v>137321.62266216712</v>
      </c>
      <c r="I24" s="49">
        <f>I23*(1+indexes!Q21)+$C$3</f>
        <v>90737.407395983668</v>
      </c>
      <c r="J24" s="48"/>
      <c r="K24" s="49">
        <f>K23*(1+indexes!V21)+$C$3</f>
        <v>195827.6705412562</v>
      </c>
      <c r="L24" s="61">
        <f>L23*(1+indexes!X21)+$C$3</f>
        <v>160007.37210794946</v>
      </c>
    </row>
    <row r="25" spans="1:12" x14ac:dyDescent="0.25">
      <c r="A25" s="3"/>
      <c r="B25" s="52">
        <v>2004</v>
      </c>
      <c r="C25" s="53">
        <f t="shared" si="0"/>
        <v>127907.12830778357</v>
      </c>
      <c r="D25" s="53"/>
      <c r="E25" s="54"/>
      <c r="F25" s="53"/>
      <c r="G25" s="55">
        <f>G24*(1+indexes!M22)+$C$3</f>
        <v>248645.31569370028</v>
      </c>
      <c r="H25" s="55">
        <f>H24*(1+indexes!O22)+analysis!$C$3</f>
        <v>168956.76562014956</v>
      </c>
      <c r="I25" s="55">
        <f>I24*(1+indexes!Q22)+$C$3</f>
        <v>104928.00141528856</v>
      </c>
      <c r="J25" s="54"/>
      <c r="K25" s="55">
        <f>K24*(1+indexes!V22)+$C$3</f>
        <v>214946.48033737476</v>
      </c>
      <c r="L25" s="60">
        <f>L24*(1+indexes!X22)+$C$3</f>
        <v>185829.39604973659</v>
      </c>
    </row>
    <row r="26" spans="1:12" x14ac:dyDescent="0.25">
      <c r="A26" s="3"/>
      <c r="B26" s="46">
        <v>2005</v>
      </c>
      <c r="C26" s="47">
        <f t="shared" si="0"/>
        <v>136065.27087393924</v>
      </c>
      <c r="D26" s="47"/>
      <c r="E26" s="48"/>
      <c r="F26" s="47"/>
      <c r="G26" s="49">
        <f>G25*(1+indexes!M23)+$C$3</f>
        <v>261707.21793166117</v>
      </c>
      <c r="H26" s="49">
        <f>H25*(1+indexes!O23)+analysis!$C$3</f>
        <v>197064.31920777954</v>
      </c>
      <c r="I26" s="49">
        <f>I25*(1+indexes!Q23)+$C$3</f>
        <v>135194.56728062266</v>
      </c>
      <c r="J26" s="48"/>
      <c r="K26" s="49">
        <f>K25*(1+indexes!V23)+$C$3</f>
        <v>266262.77458757698</v>
      </c>
      <c r="L26" s="61">
        <f>L25*(1+indexes!X23)+$C$3</f>
        <v>216332.70047630355</v>
      </c>
    </row>
    <row r="27" spans="1:12" x14ac:dyDescent="0.25">
      <c r="A27" s="3"/>
      <c r="B27" s="52">
        <v>2006</v>
      </c>
      <c r="C27" s="53">
        <f t="shared" si="0"/>
        <v>144386.57629141802</v>
      </c>
      <c r="D27" s="53"/>
      <c r="E27" s="54"/>
      <c r="F27" s="53"/>
      <c r="G27" s="55">
        <f>G26*(1+indexes!M24)+$C$3</f>
        <v>302950.25388288684</v>
      </c>
      <c r="H27" s="55">
        <f>H26*(1+indexes!O24)+analysis!$C$3</f>
        <v>253518.40951132937</v>
      </c>
      <c r="I27" s="55">
        <f>I26*(1+indexes!Q24)+$C$3</f>
        <v>164878.67511182866</v>
      </c>
      <c r="J27" s="54"/>
      <c r="K27" s="55">
        <f>K26*(1+indexes!V24)+$C$3</f>
        <v>312112.46476861573</v>
      </c>
      <c r="L27" s="60">
        <f>L26*(1+indexes!X24)+$C$3</f>
        <v>286664.81435377523</v>
      </c>
    </row>
    <row r="28" spans="1:12" x14ac:dyDescent="0.25">
      <c r="A28" s="3"/>
      <c r="B28" s="46">
        <v>2007</v>
      </c>
      <c r="C28" s="47">
        <f t="shared" si="0"/>
        <v>152874.30781724639</v>
      </c>
      <c r="D28" s="47"/>
      <c r="E28" s="48"/>
      <c r="F28" s="47"/>
      <c r="G28" s="49">
        <f>G27*(1+indexes!M25)+$C$3</f>
        <v>319243.10433526745</v>
      </c>
      <c r="H28" s="49">
        <f>H27*(1+indexes!O25)+analysis!$C$3</f>
        <v>284346.07371899468</v>
      </c>
      <c r="I28" s="49">
        <f>I27*(1+indexes!Q25)+$C$3</f>
        <v>170198.80658374089</v>
      </c>
      <c r="J28" s="48"/>
      <c r="K28" s="49">
        <f>K27*(1+indexes!V25)+$C$3</f>
        <v>338907.633968401</v>
      </c>
      <c r="L28" s="61">
        <f>L27*(1+indexes!X25)+$C$3</f>
        <v>338903.18554304691</v>
      </c>
    </row>
    <row r="29" spans="1:12" x14ac:dyDescent="0.25">
      <c r="A29" s="3"/>
      <c r="B29" s="52">
        <v>2008</v>
      </c>
      <c r="C29" s="53">
        <f t="shared" si="0"/>
        <v>161531.79397359132</v>
      </c>
      <c r="D29" s="53"/>
      <c r="E29" s="54"/>
      <c r="F29" s="53">
        <f>C29</f>
        <v>161531.79397359132</v>
      </c>
      <c r="G29" s="55">
        <f>G28*(1+indexes!M26)+$C$3</f>
        <v>201979.86388660019</v>
      </c>
      <c r="H29" s="55">
        <f>H28*(1+indexes!O26)+analysis!$C$3</f>
        <v>173275.78624013535</v>
      </c>
      <c r="I29" s="55">
        <f>I28*(1+indexes!Q26)+$C$3</f>
        <v>97504.741707817535</v>
      </c>
      <c r="J29" s="54"/>
      <c r="K29" s="55">
        <f>K28*(1+indexes!V26)+$C$3</f>
        <v>194435.94558764098</v>
      </c>
      <c r="L29" s="60">
        <f>L28*(1+indexes!X26)+$C$3</f>
        <v>170669.58303722649</v>
      </c>
    </row>
    <row r="30" spans="1:12" x14ac:dyDescent="0.25">
      <c r="A30" s="3"/>
      <c r="B30" s="62">
        <v>2009</v>
      </c>
      <c r="C30" s="63">
        <f t="shared" si="0"/>
        <v>170362.42985306316</v>
      </c>
      <c r="D30" s="63">
        <f>C30</f>
        <v>170362.42985306316</v>
      </c>
      <c r="E30" s="64">
        <f>C30</f>
        <v>170362.42985306316</v>
      </c>
      <c r="F30" s="63">
        <f>F29*(1+indexes!K27)+$C$3</f>
        <v>219406.1454582708</v>
      </c>
      <c r="G30" s="64">
        <f>G29*(1+indexes!M27)+$C$3</f>
        <v>254952.60600324511</v>
      </c>
      <c r="H30" s="64">
        <f>H29*(1+indexes!O27)+analysis!$C$3</f>
        <v>225645.30469545539</v>
      </c>
      <c r="I30" s="64">
        <f>I29*(1+indexes!Q27)+$C$3</f>
        <v>130964.6541937587</v>
      </c>
      <c r="J30" s="65"/>
      <c r="K30" s="64">
        <f>K29*(1+indexes!V27)+$C$3</f>
        <v>240863.46502516198</v>
      </c>
      <c r="L30" s="66">
        <f>L29*(1+indexes!X27)+$C$3</f>
        <v>233394.40156017963</v>
      </c>
    </row>
    <row r="31" spans="1:12" x14ac:dyDescent="0.25">
      <c r="A31" s="3"/>
      <c r="C31" s="2"/>
      <c r="D31" s="2"/>
      <c r="E31" s="1"/>
      <c r="F31" s="2"/>
      <c r="G31" s="1"/>
      <c r="H31" s="1"/>
      <c r="I31" s="1"/>
      <c r="K31" s="1"/>
      <c r="L31" s="1"/>
    </row>
    <row r="32" spans="1:12" ht="30" x14ac:dyDescent="0.25">
      <c r="A32" s="3"/>
      <c r="C32" s="39" t="s">
        <v>8</v>
      </c>
      <c r="D32" s="39" t="s">
        <v>7</v>
      </c>
      <c r="E32" s="39" t="s">
        <v>10</v>
      </c>
      <c r="F32" s="39" t="s">
        <v>6</v>
      </c>
      <c r="G32" s="39" t="s">
        <v>5</v>
      </c>
      <c r="H32" s="39" t="s">
        <v>4</v>
      </c>
      <c r="I32" s="39" t="s">
        <v>3</v>
      </c>
      <c r="J32" s="39" t="s">
        <v>2</v>
      </c>
      <c r="K32" s="39" t="s">
        <v>1</v>
      </c>
      <c r="L32" s="39" t="s">
        <v>0</v>
      </c>
    </row>
    <row r="33" spans="1:12" x14ac:dyDescent="0.25">
      <c r="A33" s="3"/>
      <c r="B33" s="40">
        <v>2010</v>
      </c>
      <c r="C33" s="41">
        <f>C30*(1+$C$4)+$C$3</f>
        <v>179369.67845012443</v>
      </c>
      <c r="D33" s="41">
        <f>$C$33</f>
        <v>179369.67845012443</v>
      </c>
      <c r="E33" s="41">
        <f t="shared" ref="E33:I33" si="1">$C$33</f>
        <v>179369.67845012443</v>
      </c>
      <c r="F33" s="41">
        <f t="shared" si="1"/>
        <v>179369.67845012443</v>
      </c>
      <c r="G33" s="41">
        <f t="shared" si="1"/>
        <v>179369.67845012443</v>
      </c>
      <c r="H33" s="41">
        <f t="shared" si="1"/>
        <v>179369.67845012443</v>
      </c>
      <c r="I33" s="41">
        <f t="shared" si="1"/>
        <v>179369.67845012443</v>
      </c>
      <c r="J33" s="44">
        <f>C33</f>
        <v>179369.67845012443</v>
      </c>
      <c r="K33" s="41">
        <f>$C$33</f>
        <v>179369.67845012443</v>
      </c>
      <c r="L33" s="67">
        <f>$C$33</f>
        <v>179369.67845012443</v>
      </c>
    </row>
    <row r="34" spans="1:12" x14ac:dyDescent="0.25">
      <c r="A34" s="3"/>
      <c r="B34" s="46">
        <v>2011</v>
      </c>
      <c r="C34" s="47">
        <f t="shared" si="0"/>
        <v>188557.07201912691</v>
      </c>
      <c r="D34" s="47">
        <f>D33*(1+indexes!E29)+$C$3</f>
        <v>175850.27855195748</v>
      </c>
      <c r="E34" s="49">
        <f>E33*(1+indexes!G29)+$C$3</f>
        <v>177637.28088940372</v>
      </c>
      <c r="F34" s="47">
        <f>F33*(1+indexes!K29)+$C$3</f>
        <v>170940.60173057814</v>
      </c>
      <c r="G34" s="49">
        <f>G33*(1+indexes!M29)+$C$3</f>
        <v>184963.96792686672</v>
      </c>
      <c r="H34" s="49">
        <f>H33*(1+indexes!O29)+analysis!$C$3</f>
        <v>163032.37734516946</v>
      </c>
      <c r="I34" s="49">
        <f>I33*(1+indexes!Q29)+$C$3</f>
        <v>164633.61432940586</v>
      </c>
      <c r="J34" s="49">
        <f>J33*(1+indexes!T29)+analysis!$C$3</f>
        <v>165879.51612488148</v>
      </c>
      <c r="K34" s="49">
        <f>K33*(1+indexes!V29)+$C$3</f>
        <v>154381.09889417712</v>
      </c>
      <c r="L34" s="61">
        <f>L33*(1+indexes!X29)+$C$3</f>
        <v>135471.53176638344</v>
      </c>
    </row>
    <row r="35" spans="1:12" x14ac:dyDescent="0.25">
      <c r="A35" s="3"/>
      <c r="B35" s="52">
        <v>2012</v>
      </c>
      <c r="C35" s="53">
        <f t="shared" si="0"/>
        <v>197928.21345950945</v>
      </c>
      <c r="D35" s="53">
        <f>D34*(1+indexes!E30)+$C$3</f>
        <v>211029.79655098676</v>
      </c>
      <c r="E35" s="55">
        <f>E34*(1+indexes!G30)+$C$3</f>
        <v>204214.43604612726</v>
      </c>
      <c r="F35" s="53">
        <f>F34*(1+indexes!K30)+$C$3</f>
        <v>205169.0351996762</v>
      </c>
      <c r="G35" s="55">
        <f>G34*(1+indexes!M30)+$C$3</f>
        <v>215359.66566394398</v>
      </c>
      <c r="H35" s="55">
        <f>H34*(1+indexes!O30)+analysis!$C$3</f>
        <v>199217.33492263683</v>
      </c>
      <c r="I35" s="55">
        <f>I34*(1+indexes!Q30)+$C$3</f>
        <v>193891.19675982758</v>
      </c>
      <c r="J35" s="55">
        <f>J34*(1+indexes!T30)+analysis!$C$3</f>
        <v>194281.05679411668</v>
      </c>
      <c r="K35" s="55">
        <f>K34*(1+indexes!V30)+$C$3</f>
        <v>181265.43783131306</v>
      </c>
      <c r="L35" s="60">
        <f>L34*(1+indexes!X30)+$C$3</f>
        <v>145038.32990891661</v>
      </c>
    </row>
    <row r="36" spans="1:12" x14ac:dyDescent="0.25">
      <c r="A36" s="3"/>
      <c r="B36" s="46">
        <v>2013</v>
      </c>
      <c r="C36" s="47">
        <f t="shared" si="0"/>
        <v>207486.77772869964</v>
      </c>
      <c r="D36" s="47">
        <f>D35*(1+indexes!E31)+$C$3</f>
        <v>271171.29215790069</v>
      </c>
      <c r="E36" s="49">
        <f>E35*(1+indexes!G31)+$C$3</f>
        <v>282718.64165840042</v>
      </c>
      <c r="F36" s="47">
        <f>F35*(1+indexes!K31)+$C$3</f>
        <v>256677.74920096822</v>
      </c>
      <c r="G36" s="49">
        <f>G35*(1+indexes!M31)+$C$3</f>
        <v>284708.81780382188</v>
      </c>
      <c r="H36" s="49">
        <f>H35*(1+indexes!O31)+analysis!$C$3</f>
        <v>247538.21568739883</v>
      </c>
      <c r="I36" s="49">
        <f>I35*(1+indexes!Q31)+$C$3</f>
        <v>233169.8092404927</v>
      </c>
      <c r="J36" s="49">
        <f>J35*(1+indexes!T31)+analysis!$C$3</f>
        <v>233146.06724472065</v>
      </c>
      <c r="K36" s="49">
        <f>K35*(1+indexes!V31)+$C$3</f>
        <v>219397.12140214359</v>
      </c>
      <c r="L36" s="61">
        <f>L35*(1+indexes!X31)+$C$3</f>
        <v>173815.635327639</v>
      </c>
    </row>
    <row r="37" spans="1:12" x14ac:dyDescent="0.25">
      <c r="A37" s="3"/>
      <c r="B37" s="52">
        <v>2014</v>
      </c>
      <c r="C37" s="53">
        <f t="shared" si="0"/>
        <v>217236.51328327364</v>
      </c>
      <c r="D37" s="53">
        <f>D36*(1+indexes!E32)+$C$3</f>
        <v>291405.19668788044</v>
      </c>
      <c r="E37" s="55">
        <f>E36*(1+indexes!G32)+$C$3</f>
        <v>328799.60516798857</v>
      </c>
      <c r="F37" s="53">
        <f>F36*(1+indexes!K32)+$C$3</f>
        <v>272117.47282511694</v>
      </c>
      <c r="G37" s="55">
        <f>G36*(1+indexes!M32)+$C$3</f>
        <v>322738.95660580683</v>
      </c>
      <c r="H37" s="55">
        <f>H36*(1+indexes!O32)+analysis!$C$3</f>
        <v>237805.57814993401</v>
      </c>
      <c r="I37" s="55">
        <f>I36*(1+indexes!Q32)+$C$3</f>
        <v>248913.18606360315</v>
      </c>
      <c r="J37" s="55">
        <f>J36*(1+indexes!T32)+analysis!$C$3</f>
        <v>249698.54848036575</v>
      </c>
      <c r="K37" s="55">
        <f>K36*(1+indexes!V32)+$C$3</f>
        <v>227638.49620242731</v>
      </c>
      <c r="L37" s="60">
        <f>L36*(1+indexes!X32)+$C$3</f>
        <v>132777.70581443183</v>
      </c>
    </row>
    <row r="38" spans="1:12" x14ac:dyDescent="0.25">
      <c r="A38" s="3"/>
      <c r="B38" s="46">
        <v>2015</v>
      </c>
      <c r="C38" s="47">
        <f t="shared" si="0"/>
        <v>227181.24354893912</v>
      </c>
      <c r="D38" s="47">
        <f>D37*(1+indexes!E33)+$C$3</f>
        <v>294510.57240292028</v>
      </c>
      <c r="E38" s="49">
        <f>E37*(1+indexes!G33)+$C$3</f>
        <v>391664.1252743724</v>
      </c>
      <c r="F38" s="47">
        <f>F37*(1+indexes!K33)+$C$3</f>
        <v>271706.28119168617</v>
      </c>
      <c r="G38" s="49">
        <f>G37*(1+indexes!M33)+$C$3</f>
        <v>325993.93623871007</v>
      </c>
      <c r="H38" s="49">
        <f>H37*(1+indexes!O33)+analysis!$C$3</f>
        <v>241044.33758263206</v>
      </c>
      <c r="I38" s="49">
        <f>I37*(1+indexes!Q33)+$C$3</f>
        <v>271422.77279712341</v>
      </c>
      <c r="J38" s="49">
        <f>J37*(1+indexes!T33)+analysis!$C$3</f>
        <v>268243.08259036823</v>
      </c>
      <c r="K38" s="49">
        <f>K37*(1+indexes!V33)+$C$3</f>
        <v>241999.1377883364</v>
      </c>
      <c r="L38" s="61">
        <f>L37*(1+indexes!X33)+$C$3</f>
        <v>152728.46304706403</v>
      </c>
    </row>
    <row r="39" spans="1:12" x14ac:dyDescent="0.25">
      <c r="A39" s="3"/>
      <c r="B39" s="52">
        <v>2016</v>
      </c>
      <c r="C39" s="53">
        <f t="shared" si="0"/>
        <v>237324.86841991791</v>
      </c>
      <c r="D39" s="53">
        <f>D38*(1+indexes!E34)+$C$3</f>
        <v>326296.94959352718</v>
      </c>
      <c r="E39" s="55">
        <f>E38*(1+indexes!G34)+$C$3</f>
        <v>413410.47797676321</v>
      </c>
      <c r="F39" s="53">
        <f>F38*(1+indexes!K34)+$C$3</f>
        <v>300120.54988022946</v>
      </c>
      <c r="G39" s="55">
        <f>G38*(1+indexes!M34)+$C$3</f>
        <v>362677.53200407675</v>
      </c>
      <c r="H39" s="55">
        <f>H38*(1+indexes!O34)+analysis!$C$3</f>
        <v>249952.82533644442</v>
      </c>
      <c r="I39" s="55">
        <f>I38*(1+indexes!Q34)+$C$3</f>
        <v>273765.49176987057</v>
      </c>
      <c r="J39" s="55">
        <f>J38*(1+indexes!T34)+analysis!$C$3</f>
        <v>272851.31509100081</v>
      </c>
      <c r="K39" s="55">
        <f>K38*(1+indexes!V34)+$C$3</f>
        <v>249302.56429196353</v>
      </c>
      <c r="L39" s="60">
        <f>L38*(1+indexes!X34)+$C$3</f>
        <v>139991.00664197325</v>
      </c>
    </row>
    <row r="40" spans="1:12" x14ac:dyDescent="0.25">
      <c r="A40" s="3"/>
      <c r="B40" s="46">
        <v>2017</v>
      </c>
      <c r="C40" s="47">
        <f t="shared" si="0"/>
        <v>247671.36578831627</v>
      </c>
      <c r="D40" s="47">
        <f>D39*(1+indexes!E35)+$C$3</f>
        <v>409693.2597981905</v>
      </c>
      <c r="E40" s="49">
        <f>E39*(1+indexes!G35)+$C$3</f>
        <v>478621.80720721924</v>
      </c>
      <c r="F40" s="47">
        <f>F39*(1+indexes!K35)+$C$3</f>
        <v>378749.97260705999</v>
      </c>
      <c r="G40" s="49">
        <f>G39*(1+indexes!M35)+$C$3</f>
        <v>438709.38363582036</v>
      </c>
      <c r="H40" s="49">
        <f>H39*(1+indexes!O35)+analysis!$C$3</f>
        <v>318229.54848823004</v>
      </c>
      <c r="I40" s="49">
        <f>I39*(1+indexes!Q35)+$C$3</f>
        <v>300392.91153505124</v>
      </c>
      <c r="J40" s="49">
        <f>J39*(1+indexes!T35)+analysis!$C$3</f>
        <v>297842.09396084904</v>
      </c>
      <c r="K40" s="49">
        <f>K39*(1+indexes!V35)+$C$3</f>
        <v>271073.60696074436</v>
      </c>
      <c r="L40" s="61">
        <f>L39*(1+indexes!X35)+$C$3</f>
        <v>166806.56112565048</v>
      </c>
    </row>
    <row r="41" spans="1:12" x14ac:dyDescent="0.25">
      <c r="A41" s="3"/>
      <c r="B41" s="52">
        <v>2018</v>
      </c>
      <c r="C41" s="53">
        <f t="shared" si="0"/>
        <v>258224.79310408261</v>
      </c>
      <c r="D41" s="53">
        <f>D40*(1+indexes!E36)+$C$3</f>
        <v>381834.01737177593</v>
      </c>
      <c r="E41" s="55">
        <f>E40*(1+indexes!G36)+$C$3</f>
        <v>476955.70538949431</v>
      </c>
      <c r="F41" s="53">
        <f>F40*(1+indexes!K36)+$C$3</f>
        <v>349789.41916756448</v>
      </c>
      <c r="G41" s="55">
        <f>G40*(1+indexes!M36)+$C$3</f>
        <v>416945.93951509771</v>
      </c>
      <c r="H41" s="55">
        <f>H40*(1+indexes!O36)+analysis!$C$3</f>
        <v>279846.89207947272</v>
      </c>
      <c r="I41" s="55">
        <f>I40*(1+indexes!Q36)+$C$3</f>
        <v>266218.90790844866</v>
      </c>
      <c r="J41" s="55">
        <f>J40*(1+indexes!T36)+analysis!$C$3</f>
        <v>264617.98752228497</v>
      </c>
      <c r="K41" s="55">
        <f>K40*(1+indexes!V36)+$C$3</f>
        <v>237796.07113212405</v>
      </c>
      <c r="L41" s="60">
        <f>L40*(1+indexes!X36)+$C$3</f>
        <v>152072.14253194988</v>
      </c>
    </row>
    <row r="42" spans="1:12" x14ac:dyDescent="0.25">
      <c r="A42" s="3"/>
      <c r="B42" s="62">
        <v>2019</v>
      </c>
      <c r="C42" s="63">
        <f t="shared" si="0"/>
        <v>268989.28896616428</v>
      </c>
      <c r="D42" s="63">
        <f>D41*(1+indexes!E37)+$C$3</f>
        <v>495195.67497884657</v>
      </c>
      <c r="E42" s="64">
        <f>E41*(1+indexes!G37)+$C$3</f>
        <v>590036.26718431816</v>
      </c>
      <c r="F42" s="63">
        <f>F41*(1+indexes!K37)+$C$3</f>
        <v>448397.33064647164</v>
      </c>
      <c r="G42" s="64">
        <f>G41*(1+indexes!M37)+$C$3</f>
        <v>542951.88060615328</v>
      </c>
      <c r="H42" s="64">
        <f>H41*(1+indexes!O37)+analysis!$C$3</f>
        <v>347134.89440299309</v>
      </c>
      <c r="I42" s="64">
        <f>I41*(1+indexes!Q37)+$C$3</f>
        <v>333467.52751265891</v>
      </c>
      <c r="J42" s="64">
        <f>J41*(1+indexes!T37)+analysis!$C$3</f>
        <v>329962.76101107663</v>
      </c>
      <c r="K42" s="64">
        <f>K41*(1+indexes!V37)+$C$3</f>
        <v>302320.20437008963</v>
      </c>
      <c r="L42" s="66">
        <f>L41*(1+indexes!X37)+$C$3</f>
        <v>173185.43143284036</v>
      </c>
    </row>
    <row r="43" spans="1:12" x14ac:dyDescent="0.25">
      <c r="A43" s="3"/>
    </row>
    <row r="44" spans="1:12" x14ac:dyDescent="0.25">
      <c r="A44" s="3"/>
      <c r="B44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C754-9A19-43EA-8233-9C23EA9043C8}">
  <dimension ref="B2:AD39"/>
  <sheetViews>
    <sheetView showGridLines="0" workbookViewId="0"/>
  </sheetViews>
  <sheetFormatPr defaultRowHeight="15" x14ac:dyDescent="0.25"/>
  <cols>
    <col min="1" max="1" width="1.7109375" customWidth="1"/>
    <col min="2" max="2" width="10.7109375" bestFit="1" customWidth="1"/>
    <col min="3" max="30" width="9.7109375" customWidth="1"/>
  </cols>
  <sheetData>
    <row r="2" spans="2:30" s="10" customFormat="1" ht="45" customHeight="1" x14ac:dyDescent="0.25">
      <c r="C2" s="28" t="s">
        <v>12</v>
      </c>
      <c r="D2" s="29"/>
      <c r="E2" s="29"/>
      <c r="F2" s="30" t="s">
        <v>21</v>
      </c>
      <c r="G2" s="31"/>
      <c r="H2" s="30" t="s">
        <v>20</v>
      </c>
      <c r="I2" s="31"/>
      <c r="J2" s="30" t="s">
        <v>16</v>
      </c>
      <c r="K2" s="31"/>
      <c r="L2" s="30" t="s">
        <v>5</v>
      </c>
      <c r="M2" s="31"/>
      <c r="N2" s="30" t="s">
        <v>9</v>
      </c>
      <c r="O2" s="30"/>
      <c r="P2" s="30" t="s">
        <v>3</v>
      </c>
      <c r="Q2" s="30"/>
      <c r="R2" s="30" t="s">
        <v>2</v>
      </c>
      <c r="S2" s="30"/>
      <c r="T2" s="31"/>
      <c r="U2" s="30" t="s">
        <v>1</v>
      </c>
      <c r="V2" s="30"/>
      <c r="W2" s="30" t="s">
        <v>0</v>
      </c>
      <c r="X2" s="30"/>
    </row>
    <row r="3" spans="2:30" s="9" customFormat="1" x14ac:dyDescent="0.25">
      <c r="C3" s="32" t="s">
        <v>14</v>
      </c>
      <c r="D3" s="33" t="s">
        <v>11</v>
      </c>
      <c r="E3" s="34" t="s">
        <v>15</v>
      </c>
      <c r="F3" s="32" t="s">
        <v>13</v>
      </c>
      <c r="G3" s="34" t="s">
        <v>15</v>
      </c>
      <c r="H3" s="32" t="s">
        <v>13</v>
      </c>
      <c r="I3" s="34" t="s">
        <v>15</v>
      </c>
      <c r="J3" s="32" t="s">
        <v>13</v>
      </c>
      <c r="K3" s="34" t="s">
        <v>15</v>
      </c>
      <c r="L3" s="32" t="s">
        <v>13</v>
      </c>
      <c r="M3" s="34" t="s">
        <v>15</v>
      </c>
      <c r="N3" s="32" t="s">
        <v>13</v>
      </c>
      <c r="O3" s="34" t="s">
        <v>15</v>
      </c>
      <c r="P3" s="32" t="s">
        <v>11</v>
      </c>
      <c r="Q3" s="35" t="s">
        <v>15</v>
      </c>
      <c r="R3" s="36" t="s">
        <v>14</v>
      </c>
      <c r="S3" s="36" t="s">
        <v>11</v>
      </c>
      <c r="T3" s="36" t="s">
        <v>15</v>
      </c>
      <c r="U3" s="32" t="s">
        <v>11</v>
      </c>
      <c r="V3" s="35" t="s">
        <v>15</v>
      </c>
      <c r="W3" s="36"/>
      <c r="X3" s="37"/>
    </row>
    <row r="4" spans="2:30" x14ac:dyDescent="0.25">
      <c r="B4" s="24">
        <v>31777</v>
      </c>
      <c r="C4" s="12"/>
      <c r="D4" s="18"/>
      <c r="E4" s="15"/>
      <c r="F4" s="12"/>
      <c r="G4" s="15"/>
      <c r="H4" s="68"/>
      <c r="I4" s="68"/>
      <c r="J4" s="12"/>
      <c r="K4" s="15"/>
      <c r="L4" s="12">
        <v>242.16999799999999</v>
      </c>
      <c r="M4" s="15"/>
      <c r="N4" s="12"/>
      <c r="O4" s="15"/>
      <c r="P4" s="12"/>
      <c r="Q4" s="15"/>
      <c r="R4" s="12"/>
      <c r="S4" s="18"/>
      <c r="T4" s="15"/>
      <c r="U4" s="12">
        <v>900.82</v>
      </c>
      <c r="V4" s="15"/>
      <c r="W4" s="12"/>
      <c r="X4" s="15"/>
      <c r="Y4" s="11"/>
      <c r="Z4" s="11"/>
      <c r="AA4" s="11"/>
      <c r="AB4" s="11"/>
      <c r="AC4" s="11"/>
      <c r="AD4" s="11"/>
    </row>
    <row r="5" spans="2:30" x14ac:dyDescent="0.25">
      <c r="B5" s="25">
        <v>32142</v>
      </c>
      <c r="C5" s="13"/>
      <c r="D5" s="19"/>
      <c r="E5" s="17"/>
      <c r="F5" s="13"/>
      <c r="G5" s="17"/>
      <c r="H5" s="16"/>
      <c r="I5" s="16"/>
      <c r="J5" s="13"/>
      <c r="K5" s="17"/>
      <c r="L5" s="13">
        <v>247.08000200000001</v>
      </c>
      <c r="M5" s="21">
        <f t="shared" ref="M5:M26" si="0">L5/L4-1</f>
        <v>2.0275030105091796E-2</v>
      </c>
      <c r="N5" s="13"/>
      <c r="O5" s="21"/>
      <c r="P5" s="13"/>
      <c r="Q5" s="21"/>
      <c r="R5" s="13"/>
      <c r="S5" s="19"/>
      <c r="T5" s="17"/>
      <c r="U5" s="13">
        <v>648.13</v>
      </c>
      <c r="V5" s="21">
        <f t="shared" ref="V5:X37" si="1">U5/U4-1</f>
        <v>-0.2805110898958727</v>
      </c>
      <c r="W5" s="13"/>
      <c r="X5" s="21"/>
      <c r="Y5" s="11"/>
      <c r="Z5" s="11"/>
      <c r="AA5" s="11"/>
      <c r="AB5" s="11"/>
      <c r="AC5" s="11"/>
      <c r="AD5" s="11"/>
    </row>
    <row r="6" spans="2:30" x14ac:dyDescent="0.25">
      <c r="B6" s="26">
        <v>32507</v>
      </c>
      <c r="C6" s="12"/>
      <c r="D6" s="18"/>
      <c r="E6" s="15"/>
      <c r="F6" s="12"/>
      <c r="G6" s="15"/>
      <c r="H6" s="68"/>
      <c r="I6" s="68"/>
      <c r="J6" s="12"/>
      <c r="K6" s="15"/>
      <c r="L6" s="12">
        <v>277.72000100000002</v>
      </c>
      <c r="M6" s="22">
        <f t="shared" si="0"/>
        <v>0.12400841327498457</v>
      </c>
      <c r="N6" s="12"/>
      <c r="O6" s="22"/>
      <c r="P6" s="12"/>
      <c r="Q6" s="22"/>
      <c r="R6" s="12"/>
      <c r="S6" s="18"/>
      <c r="T6" s="15"/>
      <c r="U6" s="12">
        <v>861.36</v>
      </c>
      <c r="V6" s="22">
        <f t="shared" si="1"/>
        <v>0.32899264036535891</v>
      </c>
      <c r="W6" s="12"/>
      <c r="X6" s="22"/>
      <c r="Y6" s="11"/>
      <c r="Z6" s="11"/>
      <c r="AA6" s="11"/>
      <c r="AB6" s="11"/>
      <c r="AC6" s="11"/>
      <c r="AD6" s="11"/>
    </row>
    <row r="7" spans="2:30" x14ac:dyDescent="0.25">
      <c r="B7" s="25">
        <v>32871</v>
      </c>
      <c r="C7" s="13"/>
      <c r="D7" s="19"/>
      <c r="E7" s="17"/>
      <c r="F7" s="13"/>
      <c r="G7" s="17"/>
      <c r="H7" s="16"/>
      <c r="I7" s="16"/>
      <c r="J7" s="13"/>
      <c r="K7" s="17"/>
      <c r="L7" s="13">
        <v>353.39999399999999</v>
      </c>
      <c r="M7" s="21">
        <f t="shared" si="0"/>
        <v>0.27250465478717878</v>
      </c>
      <c r="N7" s="13"/>
      <c r="O7" s="21"/>
      <c r="P7" s="13"/>
      <c r="Q7" s="21"/>
      <c r="R7" s="13"/>
      <c r="S7" s="19"/>
      <c r="T7" s="17"/>
      <c r="U7" s="13">
        <v>1098.49</v>
      </c>
      <c r="V7" s="21">
        <f t="shared" si="1"/>
        <v>0.27529720442091565</v>
      </c>
      <c r="W7" s="13"/>
      <c r="X7" s="21"/>
      <c r="Y7" s="11"/>
      <c r="Z7" s="11"/>
      <c r="AA7" s="11"/>
      <c r="AB7" s="11"/>
      <c r="AC7" s="11"/>
      <c r="AD7" s="11"/>
    </row>
    <row r="8" spans="2:30" x14ac:dyDescent="0.25">
      <c r="B8" s="26">
        <v>33238</v>
      </c>
      <c r="C8" s="12"/>
      <c r="D8" s="18"/>
      <c r="E8" s="15"/>
      <c r="F8" s="12"/>
      <c r="G8" s="15"/>
      <c r="H8" s="68"/>
      <c r="I8" s="68"/>
      <c r="J8" s="12"/>
      <c r="K8" s="15"/>
      <c r="L8" s="12">
        <v>330.22000100000002</v>
      </c>
      <c r="M8" s="22">
        <f t="shared" si="0"/>
        <v>-6.5591379155484519E-2</v>
      </c>
      <c r="N8" s="12"/>
      <c r="O8" s="22"/>
      <c r="P8" s="12"/>
      <c r="Q8" s="22"/>
      <c r="R8" s="12"/>
      <c r="S8" s="18"/>
      <c r="T8" s="15"/>
      <c r="U8" s="12">
        <v>858.72</v>
      </c>
      <c r="V8" s="22">
        <f t="shared" si="1"/>
        <v>-0.21827235568826298</v>
      </c>
      <c r="W8" s="12"/>
      <c r="X8" s="22"/>
      <c r="Y8" s="11"/>
      <c r="Z8" s="11"/>
      <c r="AA8" s="11"/>
      <c r="AB8" s="11"/>
      <c r="AC8" s="11"/>
      <c r="AD8" s="11"/>
    </row>
    <row r="9" spans="2:30" x14ac:dyDescent="0.25">
      <c r="B9" s="25">
        <v>33603</v>
      </c>
      <c r="C9" s="13"/>
      <c r="D9" s="19"/>
      <c r="E9" s="17"/>
      <c r="F9" s="13"/>
      <c r="G9" s="17"/>
      <c r="H9" s="16"/>
      <c r="I9" s="16"/>
      <c r="J9" s="13"/>
      <c r="K9" s="17"/>
      <c r="L9" s="13">
        <v>417.08999599999999</v>
      </c>
      <c r="M9" s="21">
        <f t="shared" si="0"/>
        <v>0.26306703027355383</v>
      </c>
      <c r="N9" s="13"/>
      <c r="O9" s="21"/>
      <c r="P9" s="13"/>
      <c r="Q9" s="21"/>
      <c r="R9" s="13"/>
      <c r="S9" s="19"/>
      <c r="T9" s="17"/>
      <c r="U9" s="13">
        <v>1000</v>
      </c>
      <c r="V9" s="21">
        <f t="shared" si="1"/>
        <v>0.16452394261226</v>
      </c>
      <c r="W9" s="13"/>
      <c r="X9" s="21"/>
      <c r="Y9" s="11"/>
      <c r="Z9" s="11"/>
      <c r="AA9" s="11"/>
      <c r="AB9" s="11"/>
      <c r="AC9" s="11"/>
      <c r="AD9" s="11"/>
    </row>
    <row r="10" spans="2:30" x14ac:dyDescent="0.25">
      <c r="B10" s="26">
        <v>33969</v>
      </c>
      <c r="C10" s="12"/>
      <c r="D10" s="18"/>
      <c r="E10" s="15"/>
      <c r="F10" s="12"/>
      <c r="G10" s="15"/>
      <c r="H10" s="68"/>
      <c r="I10" s="68"/>
      <c r="J10" s="12"/>
      <c r="K10" s="15"/>
      <c r="L10" s="12">
        <v>435.709991</v>
      </c>
      <c r="M10" s="22">
        <f t="shared" si="0"/>
        <v>4.4642631514950182E-2</v>
      </c>
      <c r="N10" s="12"/>
      <c r="O10" s="22"/>
      <c r="P10" s="12"/>
      <c r="Q10" s="22"/>
      <c r="R10" s="12"/>
      <c r="S10" s="18"/>
      <c r="T10" s="15"/>
      <c r="U10" s="12">
        <v>1033.51</v>
      </c>
      <c r="V10" s="22">
        <f t="shared" si="1"/>
        <v>3.3509999999999929E-2</v>
      </c>
      <c r="W10" s="12">
        <v>3000</v>
      </c>
      <c r="X10" s="22"/>
      <c r="Y10" s="11"/>
      <c r="Z10" s="11"/>
      <c r="AA10" s="11"/>
      <c r="AB10" s="11"/>
      <c r="AC10" s="11"/>
      <c r="AD10" s="11"/>
    </row>
    <row r="11" spans="2:30" x14ac:dyDescent="0.25">
      <c r="B11" s="25">
        <v>34334</v>
      </c>
      <c r="C11" s="13"/>
      <c r="D11" s="19"/>
      <c r="E11" s="17"/>
      <c r="F11" s="13"/>
      <c r="G11" s="17"/>
      <c r="H11" s="16"/>
      <c r="I11" s="16"/>
      <c r="J11" s="13"/>
      <c r="K11" s="17"/>
      <c r="L11" s="13">
        <v>466.45001200000002</v>
      </c>
      <c r="M11" s="21">
        <f t="shared" si="0"/>
        <v>7.0551563275949691E-2</v>
      </c>
      <c r="N11" s="13"/>
      <c r="O11" s="21"/>
      <c r="P11" s="13"/>
      <c r="Q11" s="21"/>
      <c r="R11" s="13"/>
      <c r="S11" s="19"/>
      <c r="T11" s="17"/>
      <c r="U11" s="13">
        <v>1433.34</v>
      </c>
      <c r="V11" s="21">
        <f t="shared" si="1"/>
        <v>0.38686611643815727</v>
      </c>
      <c r="W11" s="13">
        <v>4288.09</v>
      </c>
      <c r="X11" s="21">
        <f t="shared" si="1"/>
        <v>0.42936333333333332</v>
      </c>
      <c r="Y11" s="11"/>
      <c r="Z11" s="11"/>
      <c r="AA11" s="11"/>
      <c r="AB11" s="11"/>
      <c r="AC11" s="11"/>
      <c r="AD11" s="11"/>
    </row>
    <row r="12" spans="2:30" x14ac:dyDescent="0.25">
      <c r="B12" s="26">
        <v>34698</v>
      </c>
      <c r="C12" s="12"/>
      <c r="D12" s="18"/>
      <c r="E12" s="15"/>
      <c r="F12" s="12"/>
      <c r="G12" s="15"/>
      <c r="H12" s="68"/>
      <c r="I12" s="68"/>
      <c r="J12" s="12"/>
      <c r="K12" s="15"/>
      <c r="L12" s="12">
        <v>459.26998900000001</v>
      </c>
      <c r="M12" s="22">
        <f t="shared" si="0"/>
        <v>-1.5392909883771178E-2</v>
      </c>
      <c r="N12" s="12"/>
      <c r="O12" s="22"/>
      <c r="P12" s="12"/>
      <c r="Q12" s="22"/>
      <c r="R12" s="12"/>
      <c r="S12" s="18"/>
      <c r="T12" s="15"/>
      <c r="U12" s="12">
        <v>1320.59</v>
      </c>
      <c r="V12" s="22">
        <f t="shared" si="1"/>
        <v>-7.8662424825930999E-2</v>
      </c>
      <c r="W12" s="12">
        <v>4157.25</v>
      </c>
      <c r="X12" s="22">
        <f t="shared" ref="X12" si="2">W12/W11-1</f>
        <v>-3.0512419282244574E-2</v>
      </c>
      <c r="Y12" s="11"/>
      <c r="Z12" s="11"/>
      <c r="AA12" s="11"/>
      <c r="AB12" s="11"/>
      <c r="AC12" s="11"/>
      <c r="AD12" s="11"/>
    </row>
    <row r="13" spans="2:30" x14ac:dyDescent="0.25">
      <c r="B13" s="25">
        <v>35062</v>
      </c>
      <c r="C13" s="13"/>
      <c r="D13" s="19"/>
      <c r="E13" s="17"/>
      <c r="F13" s="13"/>
      <c r="G13" s="17"/>
      <c r="H13" s="16"/>
      <c r="I13" s="16"/>
      <c r="J13" s="13"/>
      <c r="K13" s="17"/>
      <c r="L13" s="13">
        <v>615.92999299999997</v>
      </c>
      <c r="M13" s="21">
        <f t="shared" si="0"/>
        <v>0.34110655551673763</v>
      </c>
      <c r="N13" s="13"/>
      <c r="O13" s="21"/>
      <c r="P13" s="13"/>
      <c r="Q13" s="21"/>
      <c r="R13" s="13"/>
      <c r="S13" s="19"/>
      <c r="T13" s="17"/>
      <c r="U13" s="13">
        <v>1506.82</v>
      </c>
      <c r="V13" s="21">
        <f t="shared" si="1"/>
        <v>0.14102030153189116</v>
      </c>
      <c r="W13" s="13">
        <v>3896.24</v>
      </c>
      <c r="X13" s="21">
        <f t="shared" ref="X13" si="3">W13/W12-1</f>
        <v>-6.2784292501052441E-2</v>
      </c>
      <c r="Y13" s="11"/>
      <c r="Z13" s="11"/>
      <c r="AA13" s="11"/>
      <c r="AB13" s="11"/>
      <c r="AC13" s="11"/>
      <c r="AD13" s="11"/>
    </row>
    <row r="14" spans="2:30" x14ac:dyDescent="0.25">
      <c r="B14" s="26">
        <v>35430</v>
      </c>
      <c r="C14" s="12"/>
      <c r="D14" s="18"/>
      <c r="E14" s="15"/>
      <c r="F14" s="12"/>
      <c r="G14" s="15"/>
      <c r="H14" s="68"/>
      <c r="I14" s="68"/>
      <c r="J14" s="12"/>
      <c r="K14" s="15"/>
      <c r="L14" s="12">
        <v>740.73999000000003</v>
      </c>
      <c r="M14" s="22">
        <f t="shared" si="0"/>
        <v>0.20263666068945607</v>
      </c>
      <c r="N14" s="12"/>
      <c r="O14" s="22"/>
      <c r="P14" s="12"/>
      <c r="Q14" s="22"/>
      <c r="R14" s="12"/>
      <c r="S14" s="18"/>
      <c r="T14" s="15"/>
      <c r="U14" s="12">
        <v>1850.32</v>
      </c>
      <c r="V14" s="22">
        <f t="shared" si="1"/>
        <v>0.22796352583586632</v>
      </c>
      <c r="W14" s="12">
        <v>5146.33</v>
      </c>
      <c r="X14" s="22">
        <f t="shared" ref="X14" si="4">W14/W13-1</f>
        <v>0.32084522514013525</v>
      </c>
      <c r="Y14" s="11"/>
      <c r="Z14" s="11"/>
      <c r="AA14" s="11"/>
      <c r="AB14" s="11"/>
      <c r="AC14" s="11"/>
      <c r="AD14" s="11"/>
    </row>
    <row r="15" spans="2:30" x14ac:dyDescent="0.25">
      <c r="B15" s="25">
        <v>35795</v>
      </c>
      <c r="C15" s="13"/>
      <c r="D15" s="19"/>
      <c r="E15" s="17"/>
      <c r="F15" s="13"/>
      <c r="G15" s="17"/>
      <c r="H15" s="16"/>
      <c r="I15" s="16"/>
      <c r="J15" s="13"/>
      <c r="K15" s="17"/>
      <c r="L15" s="13">
        <v>970.42999299999997</v>
      </c>
      <c r="M15" s="21">
        <f t="shared" si="0"/>
        <v>0.31008181831792281</v>
      </c>
      <c r="N15" s="13"/>
      <c r="O15" s="21"/>
      <c r="P15" s="13"/>
      <c r="Q15" s="21"/>
      <c r="R15" s="13"/>
      <c r="S15" s="19"/>
      <c r="T15" s="17"/>
      <c r="U15" s="13">
        <v>2531.9899999999998</v>
      </c>
      <c r="V15" s="21">
        <f t="shared" si="1"/>
        <v>0.36840654589476407</v>
      </c>
      <c r="W15" s="13">
        <v>8803.5</v>
      </c>
      <c r="X15" s="21">
        <f t="shared" ref="X15" si="5">W15/W14-1</f>
        <v>0.71063651184436294</v>
      </c>
      <c r="Y15" s="11"/>
      <c r="Z15" s="11"/>
      <c r="AA15" s="11"/>
      <c r="AB15" s="11"/>
      <c r="AC15" s="11"/>
      <c r="AD15" s="11"/>
    </row>
    <row r="16" spans="2:30" x14ac:dyDescent="0.25">
      <c r="B16" s="26">
        <v>36160</v>
      </c>
      <c r="C16" s="12"/>
      <c r="D16" s="18"/>
      <c r="E16" s="15"/>
      <c r="F16" s="12"/>
      <c r="G16" s="15"/>
      <c r="H16" s="68"/>
      <c r="I16" s="68"/>
      <c r="J16" s="12"/>
      <c r="K16" s="15"/>
      <c r="L16" s="12">
        <v>1229.2299800000001</v>
      </c>
      <c r="M16" s="22">
        <f t="shared" si="0"/>
        <v>0.26668589065342307</v>
      </c>
      <c r="N16" s="12"/>
      <c r="O16" s="22"/>
      <c r="P16" s="12">
        <v>279.2</v>
      </c>
      <c r="Q16" s="22"/>
      <c r="R16" s="12"/>
      <c r="S16" s="18"/>
      <c r="T16" s="15"/>
      <c r="U16" s="12">
        <v>3342.32</v>
      </c>
      <c r="V16" s="22">
        <f t="shared" si="1"/>
        <v>0.32003680899213682</v>
      </c>
      <c r="W16" s="12">
        <v>10998.92</v>
      </c>
      <c r="X16" s="22">
        <f t="shared" ref="X16" si="6">W16/W15-1</f>
        <v>0.2493803600840574</v>
      </c>
      <c r="Y16" s="11"/>
      <c r="Z16" s="11"/>
      <c r="AA16" s="11"/>
      <c r="AB16" s="11"/>
      <c r="AC16" s="11"/>
      <c r="AD16" s="11"/>
    </row>
    <row r="17" spans="2:30" x14ac:dyDescent="0.25">
      <c r="B17" s="25">
        <v>36525</v>
      </c>
      <c r="C17" s="13"/>
      <c r="D17" s="19"/>
      <c r="E17" s="17"/>
      <c r="F17" s="13"/>
      <c r="G17" s="17"/>
      <c r="H17" s="16"/>
      <c r="I17" s="16"/>
      <c r="J17" s="13"/>
      <c r="K17" s="17"/>
      <c r="L17" s="13">
        <v>1469.25</v>
      </c>
      <c r="M17" s="21">
        <f t="shared" si="0"/>
        <v>0.19526046704458011</v>
      </c>
      <c r="N17" s="13"/>
      <c r="O17" s="21"/>
      <c r="P17" s="13">
        <v>379.49</v>
      </c>
      <c r="Q17" s="21">
        <f t="shared" ref="Q17:Q37" si="7">P17/P16-1</f>
        <v>0.35920487106017207</v>
      </c>
      <c r="R17" s="13"/>
      <c r="S17" s="19"/>
      <c r="T17" s="17"/>
      <c r="U17" s="13">
        <v>4904.46</v>
      </c>
      <c r="V17" s="21">
        <f t="shared" si="1"/>
        <v>0.46738193829435826</v>
      </c>
      <c r="W17" s="13">
        <v>11960.51</v>
      </c>
      <c r="X17" s="21">
        <f t="shared" ref="X17" si="8">W17/W16-1</f>
        <v>8.7425856356805998E-2</v>
      </c>
      <c r="Y17" s="11"/>
      <c r="Z17" s="11"/>
      <c r="AA17" s="11"/>
      <c r="AB17" s="11"/>
      <c r="AC17" s="11"/>
      <c r="AD17" s="11"/>
    </row>
    <row r="18" spans="2:30" x14ac:dyDescent="0.25">
      <c r="B18" s="26">
        <v>36889</v>
      </c>
      <c r="C18" s="12"/>
      <c r="D18" s="18"/>
      <c r="E18" s="15"/>
      <c r="F18" s="12"/>
      <c r="G18" s="15"/>
      <c r="H18" s="68"/>
      <c r="I18" s="68"/>
      <c r="J18" s="12"/>
      <c r="K18" s="15"/>
      <c r="L18" s="12">
        <v>1320.280029</v>
      </c>
      <c r="M18" s="22">
        <f t="shared" si="0"/>
        <v>-0.10139184686064318</v>
      </c>
      <c r="N18" s="12"/>
      <c r="O18" s="22"/>
      <c r="P18" s="12">
        <v>359.79</v>
      </c>
      <c r="Q18" s="22">
        <f t="shared" si="7"/>
        <v>-5.1911776331392101E-2</v>
      </c>
      <c r="R18" s="12"/>
      <c r="S18" s="18"/>
      <c r="T18" s="15"/>
      <c r="U18" s="12">
        <v>4772.3900000000003</v>
      </c>
      <c r="V18" s="22">
        <f t="shared" si="1"/>
        <v>-2.6928550747686741E-2</v>
      </c>
      <c r="W18" s="12">
        <v>10404.09</v>
      </c>
      <c r="X18" s="22">
        <f t="shared" ref="X18" si="9">W18/W17-1</f>
        <v>-0.13012990248743572</v>
      </c>
      <c r="Y18" s="11"/>
      <c r="Z18" s="11"/>
      <c r="AA18" s="11"/>
      <c r="AB18" s="11"/>
      <c r="AC18" s="11"/>
      <c r="AD18" s="11"/>
    </row>
    <row r="19" spans="2:30" x14ac:dyDescent="0.25">
      <c r="B19" s="25">
        <v>37256</v>
      </c>
      <c r="C19" s="13"/>
      <c r="D19" s="19"/>
      <c r="E19" s="17"/>
      <c r="F19" s="13"/>
      <c r="G19" s="17"/>
      <c r="H19" s="16"/>
      <c r="I19" s="16"/>
      <c r="J19" s="13"/>
      <c r="K19" s="17"/>
      <c r="L19" s="13">
        <v>1148.079956</v>
      </c>
      <c r="M19" s="21">
        <f t="shared" si="0"/>
        <v>-0.13042693157331697</v>
      </c>
      <c r="N19" s="13">
        <v>24.709795</v>
      </c>
      <c r="O19" s="21"/>
      <c r="P19" s="13">
        <v>298.73</v>
      </c>
      <c r="Q19" s="21">
        <f t="shared" si="7"/>
        <v>-0.16971010867450453</v>
      </c>
      <c r="R19" s="13"/>
      <c r="S19" s="19"/>
      <c r="T19" s="17"/>
      <c r="U19" s="13">
        <v>3806.13</v>
      </c>
      <c r="V19" s="21">
        <f t="shared" si="1"/>
        <v>-0.20246878398454449</v>
      </c>
      <c r="W19" s="13">
        <v>7831.49</v>
      </c>
      <c r="X19" s="21">
        <f t="shared" ref="X19" si="10">W19/W18-1</f>
        <v>-0.24726814166351885</v>
      </c>
      <c r="Y19" s="11"/>
      <c r="Z19" s="11"/>
      <c r="AA19" s="11"/>
      <c r="AB19" s="11"/>
      <c r="AC19" s="11"/>
      <c r="AD19" s="11"/>
    </row>
    <row r="20" spans="2:30" x14ac:dyDescent="0.25">
      <c r="B20" s="26">
        <v>37621</v>
      </c>
      <c r="C20" s="12"/>
      <c r="D20" s="18"/>
      <c r="E20" s="15"/>
      <c r="F20" s="12"/>
      <c r="G20" s="15"/>
      <c r="H20" s="68"/>
      <c r="I20" s="68"/>
      <c r="J20" s="12"/>
      <c r="K20" s="15"/>
      <c r="L20" s="12">
        <v>879.82000700000003</v>
      </c>
      <c r="M20" s="22">
        <f t="shared" si="0"/>
        <v>-0.23365963981693272</v>
      </c>
      <c r="N20" s="12">
        <v>20.899618</v>
      </c>
      <c r="O20" s="22">
        <f t="shared" ref="O20" si="11">N20/N19-1</f>
        <v>-0.15419702996321905</v>
      </c>
      <c r="P20" s="12">
        <v>201.72</v>
      </c>
      <c r="Q20" s="22">
        <f t="shared" si="7"/>
        <v>-0.32474140528236206</v>
      </c>
      <c r="R20" s="12"/>
      <c r="S20" s="18"/>
      <c r="T20" s="15"/>
      <c r="U20" s="12">
        <v>2386.41</v>
      </c>
      <c r="V20" s="22">
        <f t="shared" si="1"/>
        <v>-0.37300880421845817</v>
      </c>
      <c r="W20" s="12">
        <v>5824.7</v>
      </c>
      <c r="X20" s="22">
        <f t="shared" ref="X20" si="12">W20/W19-1</f>
        <v>-0.25624625709794691</v>
      </c>
      <c r="Y20" s="11"/>
      <c r="Z20" s="11"/>
      <c r="AA20" s="11"/>
      <c r="AB20" s="11"/>
      <c r="AC20" s="11"/>
      <c r="AD20" s="11"/>
    </row>
    <row r="21" spans="2:30" x14ac:dyDescent="0.25">
      <c r="B21" s="25">
        <v>37986</v>
      </c>
      <c r="C21" s="13"/>
      <c r="D21" s="19"/>
      <c r="E21" s="17"/>
      <c r="F21" s="13"/>
      <c r="G21" s="17"/>
      <c r="H21" s="16"/>
      <c r="I21" s="16"/>
      <c r="J21" s="13"/>
      <c r="K21" s="17"/>
      <c r="L21" s="13">
        <v>1111.920044</v>
      </c>
      <c r="M21" s="21">
        <f t="shared" si="0"/>
        <v>0.26380399985607506</v>
      </c>
      <c r="N21" s="13">
        <v>29.322406999999998</v>
      </c>
      <c r="O21" s="21">
        <f t="shared" ref="O21" si="13">N21/N20-1</f>
        <v>0.40301162442299177</v>
      </c>
      <c r="P21" s="13">
        <v>229.31</v>
      </c>
      <c r="Q21" s="21">
        <f t="shared" si="7"/>
        <v>0.13677374578623835</v>
      </c>
      <c r="R21" s="13"/>
      <c r="S21" s="19"/>
      <c r="T21" s="17"/>
      <c r="U21" s="13">
        <v>2760.66</v>
      </c>
      <c r="V21" s="21">
        <f t="shared" si="1"/>
        <v>0.15682552453266618</v>
      </c>
      <c r="W21" s="13">
        <v>6747.41</v>
      </c>
      <c r="X21" s="21">
        <f t="shared" ref="X21" si="14">W21/W20-1</f>
        <v>0.1584133088399402</v>
      </c>
      <c r="Y21" s="11"/>
      <c r="Z21" s="11"/>
      <c r="AA21" s="11"/>
      <c r="AB21" s="11"/>
      <c r="AC21" s="11"/>
      <c r="AD21" s="11"/>
    </row>
    <row r="22" spans="2:30" x14ac:dyDescent="0.25">
      <c r="B22" s="26">
        <v>38352</v>
      </c>
      <c r="C22" s="12"/>
      <c r="D22" s="18"/>
      <c r="E22" s="15"/>
      <c r="F22" s="12"/>
      <c r="G22" s="15"/>
      <c r="H22" s="68"/>
      <c r="I22" s="68"/>
      <c r="J22" s="12"/>
      <c r="K22" s="15"/>
      <c r="L22" s="12">
        <v>1211.920044</v>
      </c>
      <c r="M22" s="22">
        <f t="shared" si="0"/>
        <v>8.9934524105044433E-2</v>
      </c>
      <c r="N22" s="12">
        <v>34.881714000000002</v>
      </c>
      <c r="O22" s="22">
        <f t="shared" ref="O22" si="15">N22/N21-1</f>
        <v>0.18959245057883556</v>
      </c>
      <c r="P22" s="12">
        <v>251.02</v>
      </c>
      <c r="Q22" s="22">
        <f t="shared" si="7"/>
        <v>9.4675330338842567E-2</v>
      </c>
      <c r="R22" s="12"/>
      <c r="S22" s="18"/>
      <c r="T22" s="15"/>
      <c r="U22" s="12">
        <v>2951.24</v>
      </c>
      <c r="V22" s="22">
        <f t="shared" si="1"/>
        <v>6.9034216455485353E-2</v>
      </c>
      <c r="W22" s="12">
        <v>7600.16</v>
      </c>
      <c r="X22" s="22">
        <f t="shared" ref="X22" si="16">W22/W21-1</f>
        <v>0.12638182650824548</v>
      </c>
      <c r="Y22" s="11"/>
      <c r="Z22" s="11"/>
      <c r="AA22" s="11"/>
      <c r="AB22" s="11"/>
      <c r="AC22" s="11"/>
      <c r="AD22" s="11"/>
    </row>
    <row r="23" spans="2:30" x14ac:dyDescent="0.25">
      <c r="B23" s="25">
        <v>38716</v>
      </c>
      <c r="C23" s="13"/>
      <c r="D23" s="19"/>
      <c r="E23" s="17"/>
      <c r="F23" s="13"/>
      <c r="G23" s="17"/>
      <c r="H23" s="16"/>
      <c r="I23" s="16"/>
      <c r="J23" s="13"/>
      <c r="K23" s="17"/>
      <c r="L23" s="13">
        <v>1248.290039</v>
      </c>
      <c r="M23" s="21">
        <f t="shared" si="0"/>
        <v>3.0010226483224933E-2</v>
      </c>
      <c r="N23" s="13">
        <v>39.528477000000002</v>
      </c>
      <c r="O23" s="21">
        <f t="shared" ref="O23" si="17">N23/N22-1</f>
        <v>0.13321487011790767</v>
      </c>
      <c r="P23" s="13">
        <v>310.02999999999997</v>
      </c>
      <c r="Q23" s="21">
        <f t="shared" si="7"/>
        <v>0.23508087005019496</v>
      </c>
      <c r="R23" s="13"/>
      <c r="S23" s="19"/>
      <c r="T23" s="17"/>
      <c r="U23" s="13">
        <v>3578.93</v>
      </c>
      <c r="V23" s="21">
        <f t="shared" si="1"/>
        <v>0.21268687060354297</v>
      </c>
      <c r="W23" s="13">
        <v>8618.67</v>
      </c>
      <c r="X23" s="21">
        <f t="shared" ref="X23" si="18">W23/W22-1</f>
        <v>0.13401165238626556</v>
      </c>
      <c r="Y23" s="11"/>
      <c r="Z23" s="11"/>
      <c r="AA23" s="11"/>
      <c r="AB23" s="11"/>
      <c r="AC23" s="11"/>
      <c r="AD23" s="11"/>
    </row>
    <row r="24" spans="2:30" x14ac:dyDescent="0.25">
      <c r="B24" s="26">
        <v>39080</v>
      </c>
      <c r="C24" s="12"/>
      <c r="D24" s="18"/>
      <c r="E24" s="15"/>
      <c r="F24" s="12"/>
      <c r="G24" s="15"/>
      <c r="H24" s="68"/>
      <c r="I24" s="68"/>
      <c r="J24" s="12"/>
      <c r="K24" s="15"/>
      <c r="L24" s="12">
        <v>1418.3000489999999</v>
      </c>
      <c r="M24" s="22">
        <f t="shared" si="0"/>
        <v>0.13619431757718292</v>
      </c>
      <c r="N24" s="12">
        <v>49.729129999999998</v>
      </c>
      <c r="O24" s="22">
        <f t="shared" ref="O24" si="19">N24/N23-1</f>
        <v>0.25805833601937134</v>
      </c>
      <c r="P24" s="12">
        <v>365.26</v>
      </c>
      <c r="Q24" s="22">
        <f t="shared" si="7"/>
        <v>0.17814405057575078</v>
      </c>
      <c r="R24" s="12"/>
      <c r="S24" s="18"/>
      <c r="T24" s="15"/>
      <c r="U24" s="12">
        <v>4119.9399999999996</v>
      </c>
      <c r="V24" s="22">
        <f t="shared" si="1"/>
        <v>0.15116529241980148</v>
      </c>
      <c r="W24" s="12">
        <v>11197.59</v>
      </c>
      <c r="X24" s="22">
        <f t="shared" ref="X24" si="20">W24/W23-1</f>
        <v>0.29922482239138981</v>
      </c>
      <c r="Y24" s="11"/>
      <c r="Z24" s="11"/>
      <c r="AA24" s="11"/>
      <c r="AB24" s="11"/>
      <c r="AC24" s="11"/>
      <c r="AD24" s="11"/>
    </row>
    <row r="25" spans="2:30" x14ac:dyDescent="0.25">
      <c r="B25" s="25">
        <v>39447</v>
      </c>
      <c r="C25" s="13"/>
      <c r="D25" s="19"/>
      <c r="E25" s="17"/>
      <c r="F25" s="13"/>
      <c r="G25" s="17"/>
      <c r="H25" s="72">
        <v>33.229382000000001</v>
      </c>
      <c r="I25" s="16"/>
      <c r="J25" s="13"/>
      <c r="K25" s="17"/>
      <c r="L25" s="13">
        <v>1468.3599850000001</v>
      </c>
      <c r="M25" s="21">
        <f t="shared" si="0"/>
        <v>3.5295730290142657E-2</v>
      </c>
      <c r="N25" s="13">
        <v>54.677684999999997</v>
      </c>
      <c r="O25" s="21">
        <f t="shared" ref="O25" si="21">N25/N24-1</f>
        <v>9.9510186484259799E-2</v>
      </c>
      <c r="P25" s="13">
        <v>364.64</v>
      </c>
      <c r="Q25" s="21">
        <f t="shared" si="7"/>
        <v>-1.6974210151673441E-3</v>
      </c>
      <c r="R25" s="13"/>
      <c r="S25" s="19"/>
      <c r="T25" s="17"/>
      <c r="U25" s="13">
        <v>4399.72</v>
      </c>
      <c r="V25" s="21">
        <f t="shared" si="1"/>
        <v>6.7908755952756694E-2</v>
      </c>
      <c r="W25" s="13">
        <v>13019.36</v>
      </c>
      <c r="X25" s="21">
        <f t="shared" ref="X25" si="22">W25/W24-1</f>
        <v>0.16269304377102567</v>
      </c>
      <c r="Y25" s="11"/>
      <c r="Z25" s="11"/>
      <c r="AA25" s="11"/>
      <c r="AB25" s="11"/>
      <c r="AC25" s="11"/>
      <c r="AD25" s="11"/>
    </row>
    <row r="26" spans="2:30" x14ac:dyDescent="0.25">
      <c r="B26" s="26">
        <v>39813</v>
      </c>
      <c r="C26" s="12"/>
      <c r="D26" s="18"/>
      <c r="E26" s="15"/>
      <c r="F26" s="12"/>
      <c r="G26" s="15"/>
      <c r="H26" s="73">
        <v>19.730530000000002</v>
      </c>
      <c r="I26" s="68">
        <f t="shared" ref="G26:K37" si="23">H26/H25-1</f>
        <v>-0.4062324120262002</v>
      </c>
      <c r="J26" s="12">
        <v>25.606383999999998</v>
      </c>
      <c r="K26" s="15"/>
      <c r="L26" s="12">
        <v>903.25</v>
      </c>
      <c r="M26" s="22">
        <f t="shared" si="0"/>
        <v>-0.38485793046178662</v>
      </c>
      <c r="N26" s="12">
        <v>32.242835999999997</v>
      </c>
      <c r="O26" s="22">
        <f t="shared" ref="O26" si="24">N26/N25-1</f>
        <v>-0.41031087910909181</v>
      </c>
      <c r="P26" s="12">
        <v>196.9</v>
      </c>
      <c r="Q26" s="22">
        <f t="shared" si="7"/>
        <v>-0.46001535761298806</v>
      </c>
      <c r="R26" s="12"/>
      <c r="S26" s="18"/>
      <c r="T26" s="15"/>
      <c r="U26" s="12">
        <v>2451.48</v>
      </c>
      <c r="V26" s="22">
        <f t="shared" si="1"/>
        <v>-0.44280999699980905</v>
      </c>
      <c r="W26" s="12">
        <v>6341.34</v>
      </c>
      <c r="X26" s="22">
        <f t="shared" ref="X26" si="25">W26/W25-1</f>
        <v>-0.51292997505253712</v>
      </c>
      <c r="Y26" s="11"/>
      <c r="Z26" s="11"/>
      <c r="AA26" s="11"/>
      <c r="AB26" s="11"/>
      <c r="AC26" s="11"/>
      <c r="AD26" s="11"/>
    </row>
    <row r="27" spans="2:30" x14ac:dyDescent="0.25">
      <c r="B27" s="25">
        <v>40178</v>
      </c>
      <c r="C27" s="13"/>
      <c r="D27" s="19">
        <v>1318.61</v>
      </c>
      <c r="E27" s="17"/>
      <c r="F27" s="13">
        <v>18.707014000000001</v>
      </c>
      <c r="G27" s="17"/>
      <c r="H27" s="72">
        <v>25.157876999999999</v>
      </c>
      <c r="I27" s="16">
        <f t="shared" si="23"/>
        <v>0.27507355352339724</v>
      </c>
      <c r="J27" s="13">
        <v>33.893031999999998</v>
      </c>
      <c r="K27" s="21">
        <f t="shared" si="23"/>
        <v>0.32361648563889389</v>
      </c>
      <c r="L27" s="13">
        <v>1115.099976</v>
      </c>
      <c r="M27" s="21">
        <f t="shared" ref="M27" si="26">L27/L26-1</f>
        <v>0.23454190534182118</v>
      </c>
      <c r="N27" s="13">
        <v>40.945621000000003</v>
      </c>
      <c r="O27" s="21">
        <f t="shared" ref="O27" si="27">N27/N26-1</f>
        <v>0.26991375696604369</v>
      </c>
      <c r="P27" s="13">
        <v>253.16</v>
      </c>
      <c r="Q27" s="21">
        <f t="shared" si="7"/>
        <v>0.28572879634332149</v>
      </c>
      <c r="R27" s="13"/>
      <c r="S27" s="19"/>
      <c r="T27" s="17"/>
      <c r="U27" s="13">
        <v>2966.24</v>
      </c>
      <c r="V27" s="21">
        <f t="shared" si="1"/>
        <v>0.20997927782400816</v>
      </c>
      <c r="W27" s="13">
        <v>8463.85</v>
      </c>
      <c r="X27" s="21">
        <f t="shared" ref="X27" si="28">W27/W26-1</f>
        <v>0.33471001397181044</v>
      </c>
      <c r="Y27" s="11"/>
      <c r="Z27" s="11"/>
      <c r="AA27" s="11"/>
      <c r="AB27" s="11"/>
      <c r="AC27" s="11"/>
      <c r="AD27" s="11"/>
    </row>
    <row r="28" spans="2:30" x14ac:dyDescent="0.25">
      <c r="B28" s="26">
        <v>40543</v>
      </c>
      <c r="C28" s="12">
        <v>1892.75</v>
      </c>
      <c r="D28" s="18">
        <v>1434.48</v>
      </c>
      <c r="E28" s="22"/>
      <c r="F28" s="12">
        <v>19.741924000000001</v>
      </c>
      <c r="G28" s="22">
        <f t="shared" si="23"/>
        <v>5.5322030549610934E-2</v>
      </c>
      <c r="H28" s="73">
        <v>27.259654999999999</v>
      </c>
      <c r="I28" s="69">
        <f t="shared" si="23"/>
        <v>8.3543535887388165E-2</v>
      </c>
      <c r="J28" s="12">
        <v>38.224468000000002</v>
      </c>
      <c r="K28" s="22">
        <f t="shared" si="23"/>
        <v>0.12779724162771866</v>
      </c>
      <c r="L28" s="12">
        <v>1257.6400149999999</v>
      </c>
      <c r="M28" s="22">
        <f t="shared" ref="M28" si="29">L28/L27-1</f>
        <v>0.12782713843408788</v>
      </c>
      <c r="N28" s="12">
        <v>44.290661</v>
      </c>
      <c r="O28" s="22">
        <f t="shared" ref="O28" si="30">N28/N27-1</f>
        <v>8.1694694531559309E-2</v>
      </c>
      <c r="P28" s="12">
        <v>275.81</v>
      </c>
      <c r="Q28" s="22">
        <f t="shared" si="7"/>
        <v>8.9469110443987976E-2</v>
      </c>
      <c r="R28" s="12">
        <v>1639.77</v>
      </c>
      <c r="S28" s="18">
        <v>1124.4100000000001</v>
      </c>
      <c r="T28" s="22"/>
      <c r="U28" s="12">
        <v>2792.82</v>
      </c>
      <c r="V28" s="22">
        <f t="shared" si="1"/>
        <v>-5.8464588165488829E-2</v>
      </c>
      <c r="W28" s="12">
        <v>7588.31</v>
      </c>
      <c r="X28" s="22">
        <f t="shared" ref="X28" si="31">W28/W27-1</f>
        <v>-0.10344464989336999</v>
      </c>
      <c r="Y28" s="11"/>
      <c r="Z28" s="11"/>
      <c r="AA28" s="11"/>
      <c r="AB28" s="11"/>
      <c r="AC28" s="11"/>
      <c r="AD28" s="11"/>
    </row>
    <row r="29" spans="2:30" x14ac:dyDescent="0.25">
      <c r="B29" s="25">
        <v>40907</v>
      </c>
      <c r="C29" s="13">
        <v>1796.52</v>
      </c>
      <c r="D29" s="19">
        <v>1324.48</v>
      </c>
      <c r="E29" s="21">
        <f>C29/C28-1</f>
        <v>-5.0841368379342278E-2</v>
      </c>
      <c r="F29" s="13">
        <v>18.934899999999999</v>
      </c>
      <c r="G29" s="21">
        <f t="shared" si="23"/>
        <v>-4.0878690445774302E-2</v>
      </c>
      <c r="H29" s="72">
        <v>23.902742</v>
      </c>
      <c r="I29" s="70">
        <f t="shared" si="23"/>
        <v>-0.12314583585155425</v>
      </c>
      <c r="J29" s="13">
        <v>35.234810000000003</v>
      </c>
      <c r="K29" s="21">
        <f t="shared" si="23"/>
        <v>-7.821320103133933E-2</v>
      </c>
      <c r="L29" s="13">
        <v>1257.599976</v>
      </c>
      <c r="M29" s="21">
        <f t="shared" ref="M29" si="32">L29/L28-1</f>
        <v>-3.1836614231783855E-5</v>
      </c>
      <c r="N29" s="13">
        <v>38.873817000000003</v>
      </c>
      <c r="O29" s="21">
        <f t="shared" ref="O29" si="33">N29/N28-1</f>
        <v>-0.12230217110555197</v>
      </c>
      <c r="P29" s="13">
        <v>244.54</v>
      </c>
      <c r="Q29" s="21">
        <f t="shared" si="7"/>
        <v>-0.11337514955947936</v>
      </c>
      <c r="R29" s="13">
        <v>1520.83</v>
      </c>
      <c r="S29" s="19">
        <v>1004.74</v>
      </c>
      <c r="T29" s="21">
        <f>S29/S28-1</f>
        <v>-0.10642914950952065</v>
      </c>
      <c r="U29" s="13">
        <v>2316.5500000000002</v>
      </c>
      <c r="V29" s="21">
        <f t="shared" si="1"/>
        <v>-0.1705337257682199</v>
      </c>
      <c r="W29" s="13">
        <v>5494.27</v>
      </c>
      <c r="X29" s="21">
        <f t="shared" ref="X29" si="34">W29/W28-1</f>
        <v>-0.27595604291337594</v>
      </c>
      <c r="Y29" s="11"/>
      <c r="Z29" s="11"/>
      <c r="AA29" s="11"/>
      <c r="AB29" s="11"/>
      <c r="AC29" s="11"/>
      <c r="AD29" s="11"/>
    </row>
    <row r="30" spans="2:30" x14ac:dyDescent="0.25">
      <c r="B30" s="26">
        <v>41274</v>
      </c>
      <c r="C30" s="12">
        <v>2098.71</v>
      </c>
      <c r="D30" s="18">
        <v>1504.27</v>
      </c>
      <c r="E30" s="22">
        <f t="shared" ref="E30:E37" si="35">C30/C29-1</f>
        <v>0.16820853650390766</v>
      </c>
      <c r="F30" s="12">
        <v>21.170919000000001</v>
      </c>
      <c r="G30" s="22">
        <f t="shared" si="23"/>
        <v>0.11808982355333297</v>
      </c>
      <c r="H30" s="73">
        <v>28.339220000000001</v>
      </c>
      <c r="I30" s="69">
        <f t="shared" si="23"/>
        <v>0.1856054004180776</v>
      </c>
      <c r="J30" s="12">
        <v>41.135792000000002</v>
      </c>
      <c r="K30" s="22">
        <f t="shared" si="23"/>
        <v>0.1674759137341737</v>
      </c>
      <c r="L30" s="12">
        <v>1426.1899410000001</v>
      </c>
      <c r="M30" s="22">
        <f t="shared" ref="M30" si="36">L30/L29-1</f>
        <v>0.13405690856978847</v>
      </c>
      <c r="N30" s="12">
        <v>46.166564999999999</v>
      </c>
      <c r="O30" s="22">
        <f t="shared" ref="O30" si="37">N30/N29-1</f>
        <v>0.18760051270499112</v>
      </c>
      <c r="P30" s="12">
        <v>279.68</v>
      </c>
      <c r="Q30" s="22">
        <f t="shared" si="7"/>
        <v>0.14369837245440431</v>
      </c>
      <c r="R30" s="12">
        <v>1794.83</v>
      </c>
      <c r="S30" s="18">
        <v>1142.8499999999999</v>
      </c>
      <c r="T30" s="22">
        <f>S30/S29-1</f>
        <v>0.13745844696140286</v>
      </c>
      <c r="U30" s="12">
        <v>2635.93</v>
      </c>
      <c r="V30" s="22">
        <f t="shared" si="1"/>
        <v>0.13786881353737224</v>
      </c>
      <c r="W30" s="12">
        <v>5655.15</v>
      </c>
      <c r="X30" s="22">
        <f t="shared" ref="X30" si="38">W30/W29-1</f>
        <v>2.9281415001446875E-2</v>
      </c>
      <c r="Y30" s="11"/>
      <c r="Z30" s="11"/>
      <c r="AA30" s="11"/>
      <c r="AB30" s="11"/>
      <c r="AC30" s="11"/>
      <c r="AD30" s="11"/>
    </row>
    <row r="31" spans="2:30" x14ac:dyDescent="0.25">
      <c r="B31" s="25">
        <v>41639</v>
      </c>
      <c r="C31" s="13">
        <v>2641.13</v>
      </c>
      <c r="D31" s="19">
        <v>1845.41</v>
      </c>
      <c r="E31" s="21">
        <f t="shared" si="35"/>
        <v>0.25845400269689489</v>
      </c>
      <c r="F31" s="13">
        <v>28.728901</v>
      </c>
      <c r="G31" s="21">
        <f t="shared" si="23"/>
        <v>0.35699829563374164</v>
      </c>
      <c r="H31" s="72">
        <v>34.519035000000002</v>
      </c>
      <c r="I31" s="70">
        <f t="shared" si="23"/>
        <v>0.21806581126791769</v>
      </c>
      <c r="J31" s="13">
        <v>50.340355000000002</v>
      </c>
      <c r="K31" s="21">
        <f t="shared" si="23"/>
        <v>0.22376044200145695</v>
      </c>
      <c r="L31" s="13">
        <v>1848.3599850000001</v>
      </c>
      <c r="M31" s="21">
        <f t="shared" ref="M31" si="39">L31/L30-1</f>
        <v>0.29601249585590783</v>
      </c>
      <c r="N31" s="13">
        <v>56.066688999999997</v>
      </c>
      <c r="O31" s="21">
        <f t="shared" ref="O31" si="40">N31/N30-1</f>
        <v>0.21444359137397373</v>
      </c>
      <c r="P31" s="13">
        <v>328.26</v>
      </c>
      <c r="Q31" s="21">
        <f t="shared" si="7"/>
        <v>0.17369851258581237</v>
      </c>
      <c r="R31" s="13">
        <v>2171.21</v>
      </c>
      <c r="S31" s="19">
        <v>1338.53</v>
      </c>
      <c r="T31" s="21">
        <f t="shared" ref="T31:T36" si="41">S31/S30-1</f>
        <v>0.1712210701316883</v>
      </c>
      <c r="U31" s="13">
        <v>3109</v>
      </c>
      <c r="V31" s="21">
        <f t="shared" si="1"/>
        <v>0.17946986452599289</v>
      </c>
      <c r="W31" s="13">
        <v>6558.85</v>
      </c>
      <c r="X31" s="21">
        <f t="shared" ref="X31" si="42">W31/W30-1</f>
        <v>0.15980124311468313</v>
      </c>
      <c r="Y31" s="11"/>
      <c r="Z31" s="11"/>
      <c r="AA31" s="11"/>
      <c r="AB31" s="11"/>
      <c r="AC31" s="11"/>
      <c r="AD31" s="11"/>
    </row>
    <row r="32" spans="2:30" x14ac:dyDescent="0.25">
      <c r="B32" s="26">
        <v>42004</v>
      </c>
      <c r="C32" s="12">
        <v>2783.66</v>
      </c>
      <c r="D32" s="18">
        <v>1897.82</v>
      </c>
      <c r="E32" s="22">
        <f t="shared" si="35"/>
        <v>5.3965537478276149E-2</v>
      </c>
      <c r="F32" s="12">
        <v>32.842438000000001</v>
      </c>
      <c r="G32" s="22">
        <f t="shared" si="23"/>
        <v>0.14318462791180209</v>
      </c>
      <c r="H32" s="73">
        <v>32.459141000000002</v>
      </c>
      <c r="I32" s="69">
        <f t="shared" si="23"/>
        <v>-5.967414790129566E-2</v>
      </c>
      <c r="J32" s="12">
        <v>52.270149000000004</v>
      </c>
      <c r="K32" s="22">
        <f t="shared" si="23"/>
        <v>3.8334930295982339E-2</v>
      </c>
      <c r="L32" s="12">
        <v>2058.8999020000001</v>
      </c>
      <c r="M32" s="22">
        <f t="shared" ref="M32" si="43">L32/L31-1</f>
        <v>0.11390633789337312</v>
      </c>
      <c r="N32" s="12">
        <v>52.593890999999999</v>
      </c>
      <c r="O32" s="22">
        <f t="shared" ref="O32" si="44">N32/N31-1</f>
        <v>-6.1940486622992785E-2</v>
      </c>
      <c r="P32" s="12">
        <v>342.54</v>
      </c>
      <c r="Q32" s="22">
        <f t="shared" si="7"/>
        <v>4.3502101992323183E-2</v>
      </c>
      <c r="R32" s="12">
        <v>2342.4899999999998</v>
      </c>
      <c r="S32" s="18">
        <v>1401.41</v>
      </c>
      <c r="T32" s="22">
        <f t="shared" si="41"/>
        <v>4.6976907503007093E-2</v>
      </c>
      <c r="U32" s="12">
        <v>3146.43</v>
      </c>
      <c r="V32" s="22">
        <f t="shared" si="1"/>
        <v>1.2039240913476856E-2</v>
      </c>
      <c r="W32" s="12">
        <v>4798.99</v>
      </c>
      <c r="X32" s="22">
        <f t="shared" ref="X32" si="45">W32/W31-1</f>
        <v>-0.26831837898412081</v>
      </c>
      <c r="Y32" s="11"/>
      <c r="Z32" s="11"/>
      <c r="AA32" s="11"/>
      <c r="AB32" s="11"/>
      <c r="AC32" s="11"/>
      <c r="AD32" s="11"/>
    </row>
    <row r="33" spans="2:30" x14ac:dyDescent="0.25">
      <c r="B33" s="25">
        <v>42369</v>
      </c>
      <c r="C33" s="13">
        <v>2759.83</v>
      </c>
      <c r="D33" s="19">
        <v>1834.71</v>
      </c>
      <c r="E33" s="21">
        <f t="shared" si="35"/>
        <v>-8.5606719211397397E-3</v>
      </c>
      <c r="F33" s="13">
        <v>38.562354999999997</v>
      </c>
      <c r="G33" s="21">
        <f t="shared" si="23"/>
        <v>0.17416237491260533</v>
      </c>
      <c r="H33" s="72">
        <v>32.338017000000001</v>
      </c>
      <c r="I33" s="70">
        <f t="shared" si="23"/>
        <v>-3.7315836546629733E-3</v>
      </c>
      <c r="J33" s="13">
        <v>51.115479000000001</v>
      </c>
      <c r="K33" s="21">
        <f t="shared" si="23"/>
        <v>-2.2090428707215004E-2</v>
      </c>
      <c r="L33" s="13">
        <v>2043.9399410000001</v>
      </c>
      <c r="M33" s="21">
        <f t="shared" ref="M33" si="46">L33/L32-1</f>
        <v>-7.2659972373926296E-3</v>
      </c>
      <c r="N33" s="13">
        <v>52.071671000000002</v>
      </c>
      <c r="O33" s="21">
        <f t="shared" ref="O33" si="47">N33/N32-1</f>
        <v>-9.9292900766744241E-3</v>
      </c>
      <c r="P33" s="13">
        <v>365.81</v>
      </c>
      <c r="Q33" s="21">
        <f t="shared" si="7"/>
        <v>6.7933671979914623E-2</v>
      </c>
      <c r="R33" s="13">
        <v>2544.12</v>
      </c>
      <c r="S33" s="19">
        <v>1474.06</v>
      </c>
      <c r="T33" s="21">
        <f t="shared" si="41"/>
        <v>5.1840646206320784E-2</v>
      </c>
      <c r="U33" s="13">
        <v>3267.52</v>
      </c>
      <c r="V33" s="21">
        <f t="shared" si="1"/>
        <v>3.8484886045454747E-2</v>
      </c>
      <c r="W33" s="13">
        <v>5317.67</v>
      </c>
      <c r="X33" s="21">
        <f t="shared" ref="X33" si="48">W33/W32-1</f>
        <v>0.10808107539294731</v>
      </c>
      <c r="Y33" s="11"/>
      <c r="Z33" s="11"/>
      <c r="AA33" s="11"/>
      <c r="AB33" s="11"/>
      <c r="AC33" s="11"/>
      <c r="AD33" s="11"/>
    </row>
    <row r="34" spans="2:30" x14ac:dyDescent="0.25">
      <c r="B34" s="26">
        <v>42734</v>
      </c>
      <c r="C34" s="12">
        <v>3005.22</v>
      </c>
      <c r="D34" s="18">
        <v>1944.67</v>
      </c>
      <c r="E34" s="22">
        <f t="shared" si="35"/>
        <v>8.8914896932057452E-2</v>
      </c>
      <c r="F34" s="12">
        <v>40.152087999999999</v>
      </c>
      <c r="G34" s="22">
        <f t="shared" si="23"/>
        <v>4.1224997799019336E-2</v>
      </c>
      <c r="H34" s="73">
        <v>33.189788999999998</v>
      </c>
      <c r="I34" s="69">
        <f t="shared" si="23"/>
        <v>2.6339648470096177E-2</v>
      </c>
      <c r="J34" s="12">
        <v>55.407474999999998</v>
      </c>
      <c r="K34" s="22">
        <f t="shared" si="23"/>
        <v>8.396665910144363E-2</v>
      </c>
      <c r="L34" s="12">
        <v>2238.830078</v>
      </c>
      <c r="M34" s="22">
        <f t="shared" ref="M34" si="49">L34/L33-1</f>
        <v>9.5350226829389984E-2</v>
      </c>
      <c r="N34" s="12">
        <v>52.786388000000002</v>
      </c>
      <c r="O34" s="22">
        <f t="shared" ref="O34" si="50">N34/N33-1</f>
        <v>1.3725639801342338E-2</v>
      </c>
      <c r="P34" s="12">
        <v>361.42</v>
      </c>
      <c r="Q34" s="22">
        <f t="shared" si="7"/>
        <v>-1.2000765424673987E-2</v>
      </c>
      <c r="R34" s="12">
        <v>2631.52</v>
      </c>
      <c r="S34" s="18">
        <v>1468.61</v>
      </c>
      <c r="T34" s="22">
        <f>S34/S33-1</f>
        <v>-3.6972714814865748E-3</v>
      </c>
      <c r="U34" s="12">
        <v>3290.52</v>
      </c>
      <c r="V34" s="22">
        <f t="shared" si="1"/>
        <v>7.0389775732053739E-3</v>
      </c>
      <c r="W34" s="12">
        <v>4679.2</v>
      </c>
      <c r="X34" s="22">
        <f t="shared" ref="X34" si="51">W34/W33-1</f>
        <v>-0.12006574307920581</v>
      </c>
      <c r="Y34" s="11"/>
      <c r="Z34" s="11"/>
      <c r="AA34" s="11"/>
      <c r="AB34" s="11"/>
      <c r="AC34" s="11"/>
      <c r="AD34" s="11"/>
    </row>
    <row r="35" spans="2:30" x14ac:dyDescent="0.25">
      <c r="B35" s="25">
        <v>43098</v>
      </c>
      <c r="C35" s="13">
        <v>3721.73</v>
      </c>
      <c r="D35" s="19">
        <v>2349.63</v>
      </c>
      <c r="E35" s="21">
        <f t="shared" si="35"/>
        <v>0.23842181271254703</v>
      </c>
      <c r="F35" s="13">
        <v>45.941780000000001</v>
      </c>
      <c r="G35" s="21">
        <f t="shared" si="23"/>
        <v>0.1441940454005779</v>
      </c>
      <c r="H35" s="72">
        <v>41.958697999999998</v>
      </c>
      <c r="I35" s="70">
        <f t="shared" si="23"/>
        <v>0.26420502402109269</v>
      </c>
      <c r="J35" s="13">
        <v>68.889977000000002</v>
      </c>
      <c r="K35" s="21">
        <f t="shared" si="23"/>
        <v>0.24333362962307881</v>
      </c>
      <c r="L35" s="13">
        <v>2673.610107</v>
      </c>
      <c r="M35" s="21">
        <f t="shared" ref="M35" si="52">L35/L34-1</f>
        <v>0.19419965511111914</v>
      </c>
      <c r="N35" s="13">
        <v>66.022796999999997</v>
      </c>
      <c r="O35" s="21">
        <f t="shared" ref="O35" si="53">N35/N34-1</f>
        <v>0.2507542095890325</v>
      </c>
      <c r="P35" s="13">
        <v>389.18</v>
      </c>
      <c r="Q35" s="21">
        <f t="shared" si="7"/>
        <v>7.6808145647722759E-2</v>
      </c>
      <c r="R35" s="13">
        <v>2914.49</v>
      </c>
      <c r="S35" s="19">
        <v>1572.98</v>
      </c>
      <c r="T35" s="21">
        <f t="shared" si="41"/>
        <v>7.106719959689789E-2</v>
      </c>
      <c r="U35" s="13">
        <v>3503.96</v>
      </c>
      <c r="V35" s="21">
        <f t="shared" si="1"/>
        <v>6.4865127700181047E-2</v>
      </c>
      <c r="W35" s="13">
        <v>5388.33</v>
      </c>
      <c r="X35" s="21">
        <f t="shared" ref="X35" si="54">W35/W34-1</f>
        <v>0.1515494101555821</v>
      </c>
      <c r="Y35" s="11"/>
      <c r="Z35" s="11"/>
      <c r="AA35" s="11"/>
      <c r="AB35" s="11"/>
      <c r="AC35" s="11"/>
      <c r="AD35" s="11"/>
    </row>
    <row r="36" spans="2:30" x14ac:dyDescent="0.25">
      <c r="B36" s="26">
        <v>43465</v>
      </c>
      <c r="C36" s="12">
        <v>3417.78</v>
      </c>
      <c r="D36" s="18">
        <v>2103.7199999999998</v>
      </c>
      <c r="E36" s="22">
        <f t="shared" si="35"/>
        <v>-8.1669008767427997E-2</v>
      </c>
      <c r="F36" s="12">
        <v>45.244323999999999</v>
      </c>
      <c r="G36" s="22">
        <f t="shared" si="23"/>
        <v>-1.5181301203392672E-2</v>
      </c>
      <c r="H36" s="73">
        <v>35.771759000000003</v>
      </c>
      <c r="I36" s="69">
        <f t="shared" si="23"/>
        <v>-0.14745307397288632</v>
      </c>
      <c r="J36" s="12">
        <v>62.603836000000001</v>
      </c>
      <c r="K36" s="22">
        <f t="shared" si="23"/>
        <v>-9.1248992578412347E-2</v>
      </c>
      <c r="L36" s="12">
        <v>2506.8500979999999</v>
      </c>
      <c r="M36" s="22">
        <f t="shared" ref="M36" si="55">L36/L35-1</f>
        <v>-6.2372598219684994E-2</v>
      </c>
      <c r="N36" s="12">
        <v>56.897754999999997</v>
      </c>
      <c r="O36" s="22">
        <f t="shared" ref="O36" si="56">N36/N35-1</f>
        <v>-0.13821047296739031</v>
      </c>
      <c r="P36" s="12">
        <v>337.65</v>
      </c>
      <c r="Q36" s="22">
        <f t="shared" si="7"/>
        <v>-0.13240659848913106</v>
      </c>
      <c r="R36" s="12">
        <v>2625.92</v>
      </c>
      <c r="S36" s="18">
        <v>1367.94</v>
      </c>
      <c r="T36" s="22">
        <f t="shared" si="41"/>
        <v>-0.13035130770893466</v>
      </c>
      <c r="U36" s="12">
        <v>3001.42</v>
      </c>
      <c r="V36" s="22">
        <f t="shared" si="1"/>
        <v>-0.1434205869930022</v>
      </c>
      <c r="W36" s="12">
        <v>4731.47</v>
      </c>
      <c r="X36" s="22">
        <f t="shared" ref="X36" si="57">W36/W35-1</f>
        <v>-0.12190418923859525</v>
      </c>
      <c r="Y36" s="11"/>
      <c r="Z36" s="11"/>
      <c r="AA36" s="11"/>
      <c r="AB36" s="11"/>
      <c r="AC36" s="11"/>
      <c r="AD36" s="11"/>
    </row>
    <row r="37" spans="2:30" x14ac:dyDescent="0.25">
      <c r="B37" s="27">
        <v>43830</v>
      </c>
      <c r="C37" s="14">
        <v>4382.3500000000004</v>
      </c>
      <c r="D37" s="20">
        <v>2628.81</v>
      </c>
      <c r="E37" s="23">
        <f t="shared" si="35"/>
        <v>0.2822212079185904</v>
      </c>
      <c r="F37" s="14">
        <v>55.439999</v>
      </c>
      <c r="G37" s="23">
        <f>F37/F36-1</f>
        <v>0.2253470512676905</v>
      </c>
      <c r="H37" s="74">
        <v>43.863746999999996</v>
      </c>
      <c r="I37" s="71">
        <f t="shared" si="23"/>
        <v>0.22621163247801124</v>
      </c>
      <c r="J37" s="14">
        <v>79.25</v>
      </c>
      <c r="K37" s="23">
        <f>J37/J36-1</f>
        <v>0.26589686932283185</v>
      </c>
      <c r="L37" s="14">
        <v>3230.780029</v>
      </c>
      <c r="M37" s="23">
        <f>L37/L36-1</f>
        <v>0.2887807019564359</v>
      </c>
      <c r="N37" s="14">
        <v>69.440002000000007</v>
      </c>
      <c r="O37" s="23">
        <f t="shared" ref="O37" si="58">N37/N36-1</f>
        <v>0.22043483086459226</v>
      </c>
      <c r="P37" s="14">
        <v>415.84</v>
      </c>
      <c r="Q37" s="23">
        <f t="shared" si="7"/>
        <v>0.23157115356138003</v>
      </c>
      <c r="R37" s="14">
        <v>3341.1</v>
      </c>
      <c r="S37" s="20">
        <v>1676.79</v>
      </c>
      <c r="T37" s="23">
        <f>S37/S36-1</f>
        <v>0.22577744637922703</v>
      </c>
      <c r="U37" s="14">
        <v>3745.15</v>
      </c>
      <c r="V37" s="23">
        <f t="shared" si="1"/>
        <v>0.24779271144991366</v>
      </c>
      <c r="W37" s="14">
        <v>5214.1400000000003</v>
      </c>
      <c r="X37" s="23">
        <f t="shared" ref="X37" si="59">W37/W36-1</f>
        <v>0.102012693729433</v>
      </c>
      <c r="Y37" s="11"/>
      <c r="Z37" s="11"/>
      <c r="AA37" s="11"/>
      <c r="AB37" s="11"/>
      <c r="AC37" s="11"/>
      <c r="AD37" s="11"/>
    </row>
    <row r="39" spans="2:30" x14ac:dyDescent="0.25">
      <c r="E39" s="6" t="str">
        <f>HYPERLINK("https://us.spindices.com/indices/equity/sp-global-1200","source")</f>
        <v>source</v>
      </c>
      <c r="G39" s="6" t="str">
        <f>HYPERLINK("https://finance.yahoo.com/quote/XWD.TO/history?period1=1261699200&amp;period2=1579046400&amp;interval=1d&amp;filter=history&amp;frequency=1d","source")</f>
        <v>source</v>
      </c>
      <c r="H39" s="6"/>
      <c r="I39" s="6" t="str">
        <f>HYPERLINK("https://finance.yahoo.com/quote/VEA/history?period1=1198108800&amp;period2=1578614400&amp;interval=1d&amp;filter=history&amp;frequency=1d","source")</f>
        <v>source</v>
      </c>
      <c r="K39" s="6" t="str">
        <f>HYPERLINK("https://finance.yahoo.com/quote/ACWI/history?period1=1227139200&amp;period2=1578182400&amp;interval=1mo&amp;filter=history&amp;frequency=1mo","source")</f>
        <v>source</v>
      </c>
      <c r="M39" s="6" t="str">
        <f>HYPERLINK("https://finance.yahoo.com/quote/%5EGSPC/history?period1=533779200&amp;period2=1577836800&amp;interval=1d&amp;filter=history&amp;frequency=1d","source")</f>
        <v>source</v>
      </c>
      <c r="O39" s="6" t="str">
        <f>HYPERLINK("https://finance.yahoo.com/quote/EFA/history?period1=1006214400&amp;period2=1578182400&amp;interval=1mo&amp;filter=history&amp;frequency=1mo","source")</f>
        <v>source</v>
      </c>
      <c r="Q39" s="5" t="str">
        <f>HYPERLINK("https://en.wikipedia.org/wiki/STOXX_Europe_600","source")</f>
        <v>source</v>
      </c>
      <c r="T39" s="5" t="str">
        <f>HYPERLINK("https://us.spindices.com/indices/equity/sp-europe-350","source")</f>
        <v>source</v>
      </c>
      <c r="V39" s="5" t="str">
        <f>HYPERLINK("https://en.wikipedia.org/wiki/Euro_Stoxx_50","source")</f>
        <v>source</v>
      </c>
      <c r="X39" s="5" t="str">
        <f>HYPERLINK("https://en.wikipedia.org/wiki/PSI-20","source")</f>
        <v>source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a f 7 6 8 d 8 - e 1 2 2 - 4 d d 4 - b 3 8 f - 7 4 9 3 e f c 8 c 1 3 2 "   x m l n s = " h t t p : / / s c h e m a s . m i c r o s o f t . c o m / D a t a M a s h u p " > A A A A A F k E A A B Q S w M E F A A C A A g A I m 6 h U L T C d 9 m o A A A A + A A A A B I A H A B D b 2 5 m a W c v U G F j a 2 F n Z S 5 4 b W w g o h g A K K A U A A A A A A A A A A A A A A A A A A A A A A A A A A A A h Y 9 L D o I w F E W 3 Q j q n D / A D k k d J d C q J 0 c Q 4 b U q F R i g E i r A 3 B y 7 J L U i i q D O H 9 + Q M z n 3 c 7 h g P Z W F d Z d O q S k f E p Q 6 x p B Z V q n Q W k c 6 c 7 Y D E D H d c X H g m r V H W b T i 0 a U R y Y + o Q o O 9 7 2 s 9 o 1 W T g O Y 4 L p 2 R 7 E L k s O f n I 6 r 9 s K 9 0 a r o U k D I + v G O Z R f 0 U X / j K g 3 t x F m D A m S n 8 V b y y m D s I P x E 1 X m K 6 R r D b 2 e o 8 w T Y T 3 C / Y E U E s D B B Q A A g A I A C J u o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b q F Q i w w 5 A U 8 B A A D D B w A A E w A c A E Z v c m 1 1 b G F z L 1 N l Y 3 R p b 2 4 x L m 0 g o h g A K K A U A A A A A A A A A A A A A A A A A A A A A A A A A A A A 7 Z N B S 8 M w F M f v h X 6 H k F 1 a C I U N R F B 6 K O 1 k A 3 F q 5 y q s H m r 7 2 I p p 3 k j S D R G / u 6 k t b g d F 2 D x 4 a C 4 v + b / k / 1 7 4 8 R T k u k R B 4 j Y O L 2 3 L t t Q 6 k 1 C Q I E y m x C c c t G 0 R s 2 K s Z Q 5 G C d X W i z C v K x D a u S o 5 e C E K b Q 7 K o e F F + q B A q n S F I s / S C N S L x k 3 a e H m 5 2 l K X L S P g Z V V q k D 5 l l J E Q e V 0 J 5 Z 8 z M h Y 5 F q V Y + c P R 2 Y i R u x o 1 x P q V g 7 / f e j c o 4 M l l b U 8 D e i u x M r m C T C A r T G F q G p x n z + Z i l + l 0 p 2 2 f k W W n B 5 z H e c Y z q X w t 6 0 P L e 6 h w a x y 7 z v a O b a K T n W 9 q s z c 6 2 4 A w v 6 K T c r V u 4 j X u m h B y V N B s F s 1 r o O + u b Z X i p 4 q H G A b 0 E 4 Q z c m l P 4 x / Q e E w i M p / 9 G Q t j 5 8 1 n P Y 2 j a C z G w c k c c C c 4 Z o V K j V m P 4 c i h m C Z R Q I L 4 9 K n 4 o t E 4 e k H c E / m N w w d Q S w E C L Q A U A A I A C A A i b q F Q t M J 3 2 a g A A A D 4 A A A A E g A A A A A A A A A A A A A A A A A A A A A A Q 2 9 u Z m l n L 1 B h Y 2 t h Z 2 U u e G 1 s U E s B A i 0 A F A A C A A g A I m 6 h U A / K 6 a u k A A A A 6 Q A A A B M A A A A A A A A A A A A A A A A A 9 A A A A F t D b 2 5 0 Z W 5 0 X 1 R 5 c G V z X S 5 4 b W x Q S w E C L Q A U A A I A C A A i b q F Q i w w 5 A U 8 B A A D D B w A A E w A A A A A A A A A A A A A A A A D l A Q A A R m 9 y b X V s Y X M v U 2 V j d G l v b j E u b V B L B Q Y A A A A A A w A D A M I A A A C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B J w A A A A A A A N 8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B Q 1 d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4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T h U M T E 6 N D g 6 N T Q u M T A 0 M z Q 2 M F o i I C 8 + P E V u d H J 5 I F R 5 c G U 9 I k Z p b G x D b 2 x 1 b W 5 U e X B l c y I g V m F s d W U 9 I n N C Z 1 k 9 I i A v P j x F b n R y e S B U e X B l P S J G a W x s Q 2 9 s d W 1 u T m F t Z X M i I F Z h b H V l P S J z W y Z x d W 9 0 O 0 R h d G U m c X V v d D s s J n F 1 b 3 Q 7 Q W R q I E N s b 3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U N X S S 9 T b 3 V y Y 2 U u e 0 N v b H V t b j E s M H 0 m c X V v d D s s J n F 1 b 3 Q 7 U 2 V j d G l v b j E v Q U N X S S 9 T b 3 V y Y 2 U u e 0 N v b H V t b j Y s N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U N X S S 9 T b 3 V y Y 2 U u e 0 N v b H V t b j E s M H 0 m c X V v d D s s J n F 1 b 3 Q 7 U 2 V j d G l v b j E v Q U N X S S 9 T b 3 V y Y 2 U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D V 0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X S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1 d J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X S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z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4 V D E y O j A w O j M x L j M 2 N T g 3 M j V a I i A v P j x F b n R y e S B U e X B l P S J G a W x s Q 2 9 s d W 1 u V H l w Z X M i I F Z h b H V l P S J z Q m d Z P S I g L z 4 8 R W 5 0 c n k g V H l w Z T 0 i R m l s b E N v b H V t b k 5 h b W V z I i B W Y W x 1 Z T 0 i c 1 s m c X V v d D t E Y X R l J n F 1 b 3 Q 7 L C Z x d W 9 0 O 0 F k a i B D b G 9 z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D V 0 k g K D I p L 1 N v d X J j Z S 5 7 Q 2 9 s d W 1 u M S w w f S Z x d W 9 0 O y w m c X V v d D t T Z W N 0 a W 9 u M S 9 B Q 1 d J I C g y K S 9 T b 3 V y Y 2 U u e 0 N v b H V t b j Y s N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U N X S S A o M i k v U 2 9 1 c m N l L n t D b 2 x 1 b W 4 x L D B 9 J n F 1 b 3 Q 7 L C Z x d W 9 0 O 1 N l Y 3 R p b 2 4 x L 0 F D V 0 k g K D I p L 1 N v d X J j Z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U N X S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1 d J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D V 0 k l M j A o M i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V 0 Q l M j B U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4 V D E y O j A z O j E y L j U x O T c z M D R a I i A v P j x F b n R y e S B U e X B l P S J G a W x s Q 2 9 s d W 1 u V H l w Z X M i I F Z h b H V l P S J z Q m d Z P S I g L z 4 8 R W 5 0 c n k g V H l w Z T 0 i R m l s b E N v b H V t b k 5 h b W V z I i B W Y W x 1 Z T 0 i c 1 s m c X V v d D t E Y X R l J n F 1 b 3 Q 7 L C Z x d W 9 0 O 0 F k a i B D b G 9 z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h X R C B U T y 9 T b 3 V y Y 2 U u e 0 N v b H V t b j E s M H 0 m c X V v d D s s J n F 1 b 3 Q 7 U 2 V j d G l v b j E v W F d E I F R P L 1 N v d X J j Z S 5 7 Q 2 9 s d W 1 u N i w 1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Y V 0 Q g V E 8 v U 2 9 1 c m N l L n t D b 2 x 1 b W 4 x L D B 9 J n F 1 b 3 Q 7 L C Z x d W 9 0 O 1 N l Y 3 R p b 2 4 x L 1 h X R C B U T y 9 T b 3 V y Y 2 U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h X R C U y M F R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h X R C U y M F R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h X R C U y M F R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k V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w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T l U M T c 6 M z A 6 N D g u N j k y N T A 2 N V o i I C 8 + P E V u d H J 5 I F R 5 c G U 9 I k Z p b G x D b 2 x 1 b W 5 U e X B l c y I g V m F s d W U 9 I n N C Z 1 k 9 I i A v P j x F b n R y e S B U e X B l P S J G a W x s Q 2 9 s d W 1 u T m F t Z X M i I F Z h b H V l P S J z W y Z x d W 9 0 O 0 R h d G U m c X V v d D s s J n F 1 b 3 Q 7 Q W R q I E N s b 3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k V B L 1 N v d X J j Z S 5 7 Q 2 9 s d W 1 u M S w w f S Z x d W 9 0 O y w m c X V v d D t T Z W N 0 a W 9 u M S 9 W R U E v U 2 9 1 c m N l L n t D b 2 x 1 b W 4 2 L D V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Z F Q S 9 T b 3 V y Y 2 U u e 0 N v b H V t b j E s M H 0 m c X V v d D s s J n F 1 b 3 Q 7 U 2 V j d G l v b j E v V k V B L 1 N v d X J j Z S 5 7 Q 2 9 s d W 1 u N i w 1 f S Z x d W 9 0 O 1 0 s J n F 1 b 3 Q 7 U m V s Y X R p b 2 5 z a G l w S W 5 m b y Z x d W 9 0 O z p b X X 0 i I C 8 + P E V u d H J 5 I F R 5 c G U 9 I l F 1 Z X J 5 S U Q i I F Z h b H V l P S J z N j F i M G Y z Y W U t M 2 F m N i 0 0 Z m Z j L T h m Z T g t M z J j N W V k M j Z l M m I 1 I i A v P j w v U 3 R h Y m x l R W 5 0 c m l l c z 4 8 L 0 l 0 Z W 0 + P E l 0 Z W 0 + P E l 0 Z W 1 M b 2 N h d G l v b j 4 8 S X R l b V R 5 c G U + R m 9 y b X V s Y T w v S X R l b V R 5 c G U + P E l 0 Z W 1 Q Y X R o P l N l Y 3 R p b 2 4 x L 1 Z F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R U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k V B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V d E Q S U y M E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T l U M T c 6 N T A 6 N D Y u O T M 2 N T Y 2 N l o i I C 8 + P E V u d H J 5 I F R 5 c G U 9 I k Z p b G x D b 2 x 1 b W 5 U e X B l c y I g V m F s d W U 9 I n N C Z 1 l H I i A v P j x F b n R y e S B U e X B l P S J G a W x s Q 2 9 s d W 1 u T m F t Z X M i I F Z h b H V l P S J z W y Z x d W 9 0 O 0 R h d G U m c X V v d D s s J n F 1 b 3 Q 7 Q W R q I E N s b 3 N l J n F 1 b 3 Q 7 L C Z x d W 9 0 O 1 Z v b H V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X R E E g Q V M v U 2 9 1 c m N l L n t D b 2 x 1 b W 4 x L D B 9 J n F 1 b 3 Q 7 L C Z x d W 9 0 O 1 N l Y 3 R p b 2 4 x L 0 l X R E E g Q V M v U 2 9 1 c m N l L n t D b 2 x 1 b W 4 2 L D V 9 J n F 1 b 3 Q 7 L C Z x d W 9 0 O 1 N l Y 3 R p b 2 4 x L 0 l X R E E g Q V M v U 2 9 1 c m N l L n t D b 2 x 1 b W 4 3 L D Z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l X R E E g Q V M v U 2 9 1 c m N l L n t D b 2 x 1 b W 4 x L D B 9 J n F 1 b 3 Q 7 L C Z x d W 9 0 O 1 N l Y 3 R p b 2 4 x L 0 l X R E E g Q V M v U 2 9 1 c m N l L n t D b 2 x 1 b W 4 2 L D V 9 J n F 1 b 3 Q 7 L C Z x d W 9 0 O 1 N l Y 3 R p b 2 4 x L 0 l X R E E g Q V M v U 2 9 1 c m N l L n t D b 2 x 1 b W 4 3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V 0 R B J T I w Q V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V d E Q S U y M E F T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X R E E l M j B B U y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R J f t W 7 I T 8 R r I z X Z a s 3 0 e h A A A A A A I A A A A A A B B m A A A A A Q A A I A A A A I Z j e C 5 F C M o E b 5 B g U 1 5 f 7 3 f l U K g I D a m v 6 r h 4 N o 2 9 b H M e A A A A A A 6 A A A A A A g A A I A A A A K R O B + l 5 I Z b e R F R c W 9 h G H / U t 4 b s E f b J x o H P J b 5 P Z p d N K U A A A A M E G L w m 9 J i A 7 M I P g j 9 A Z o J X y 3 q a N f 3 F h U f w o E f q F w 2 c M F 1 d X R 7 M M H 7 A i u 9 + B i 5 8 6 w w x L o 9 B M x Y y k 4 0 W t x R w N V w r e e B J R j p w W F g k B Z O 0 k E s Y W Q A A A A H r D F u f + n I T w b + u c r M Y G 0 r 9 3 4 R P + 2 3 E G x 6 7 T o a Y a C Y s b u e k k G p A w 6 M 1 A j H w + C 4 a k C v / E 7 p t s w m z t G 8 D W q l 7 P 2 a Y = < / D a t a M a s h u p > 
</file>

<file path=customXml/itemProps1.xml><?xml version="1.0" encoding="utf-8"?>
<ds:datastoreItem xmlns:ds="http://schemas.openxmlformats.org/officeDocument/2006/customXml" ds:itemID="{4856B7C2-0D98-4BFF-BBCC-F414D8D883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analysis</vt:lpstr>
      <vt:lpstr>indexes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Figueiredo</dc:creator>
  <cp:lastModifiedBy>Gonçalo Figueiredo</cp:lastModifiedBy>
  <cp:lastPrinted>2020-05-03T11:05:43Z</cp:lastPrinted>
  <dcterms:created xsi:type="dcterms:W3CDTF">2020-04-18T11:39:58Z</dcterms:created>
  <dcterms:modified xsi:type="dcterms:W3CDTF">2020-05-11T20:35:47Z</dcterms:modified>
</cp:coreProperties>
</file>