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tables/table5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ff30c5ae8d6532/Documents/goncalovf.com/"/>
    </mc:Choice>
  </mc:AlternateContent>
  <xr:revisionPtr revIDLastSave="2" documentId="8_{F32F164D-BE5D-40B7-BCF3-8687D8D05CF2}" xr6:coauthVersionLast="45" xr6:coauthVersionMax="45" xr10:uidLastSave="{DF6C7719-C1DF-479B-8DF7-C946ADF7E865}"/>
  <bookViews>
    <workbookView xWindow="23880" yWindow="-120" windowWidth="29040" windowHeight="18240" xr2:uid="{00000000-000D-0000-FFFF-FFFF00000000}"/>
  </bookViews>
  <sheets>
    <sheet name="nominal vs real" sheetId="2" r:id="rId1"/>
    <sheet name="inflation-monthly" sheetId="4" r:id="rId2"/>
    <sheet name="inflation-yearly" sheetId="7" r:id="rId3"/>
    <sheet name="source--msci-world-history" sheetId="1" r:id="rId4"/>
    <sheet name="source--pt-inflation-month" sheetId="3" r:id="rId5"/>
    <sheet name="source--pt-inflation-year" sheetId="6" r:id="rId6"/>
  </sheets>
  <externalReferences>
    <externalReference r:id="rId7"/>
  </externalReferences>
  <definedNames>
    <definedName name="ExternalData_1" localSheetId="4" hidden="1">'source--pt-inflation-month'!$A$1:$H$606</definedName>
    <definedName name="ExternalData_1" localSheetId="5" hidden="1">'source--pt-inflation-year'!$A$1:$H$65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3" i="2" l="1"/>
  <c r="C427" i="2"/>
  <c r="C426" i="2"/>
  <c r="C425" i="2"/>
  <c r="C424" i="2"/>
  <c r="C423" i="2"/>
  <c r="C422" i="2"/>
  <c r="E422" i="2" s="1"/>
  <c r="F422" i="2" s="1"/>
  <c r="C421" i="2"/>
  <c r="C420" i="2"/>
  <c r="C419" i="2"/>
  <c r="C418" i="2"/>
  <c r="E419" i="2" s="1"/>
  <c r="F419" i="2" s="1"/>
  <c r="C417" i="2"/>
  <c r="E418" i="2" s="1"/>
  <c r="F418" i="2" s="1"/>
  <c r="C416" i="2"/>
  <c r="C415" i="2"/>
  <c r="C414" i="2"/>
  <c r="C413" i="2"/>
  <c r="C412" i="2"/>
  <c r="C411" i="2"/>
  <c r="C410" i="2"/>
  <c r="E411" i="2" s="1"/>
  <c r="F411" i="2" s="1"/>
  <c r="C409" i="2"/>
  <c r="C408" i="2"/>
  <c r="C407" i="2"/>
  <c r="C406" i="2"/>
  <c r="E407" i="2" s="1"/>
  <c r="F407" i="2" s="1"/>
  <c r="C405" i="2"/>
  <c r="E406" i="2" s="1"/>
  <c r="F406" i="2" s="1"/>
  <c r="C404" i="2"/>
  <c r="C403" i="2"/>
  <c r="C402" i="2"/>
  <c r="C401" i="2"/>
  <c r="C400" i="2"/>
  <c r="C399" i="2"/>
  <c r="C398" i="2"/>
  <c r="E398" i="2" s="1"/>
  <c r="F398" i="2" s="1"/>
  <c r="C397" i="2"/>
  <c r="C396" i="2"/>
  <c r="C395" i="2"/>
  <c r="C394" i="2"/>
  <c r="E395" i="2" s="1"/>
  <c r="F395" i="2" s="1"/>
  <c r="C393" i="2"/>
  <c r="C392" i="2"/>
  <c r="C391" i="2"/>
  <c r="C390" i="2"/>
  <c r="E391" i="2" s="1"/>
  <c r="F391" i="2" s="1"/>
  <c r="C389" i="2"/>
  <c r="E390" i="2" s="1"/>
  <c r="F390" i="2" s="1"/>
  <c r="C388" i="2"/>
  <c r="C387" i="2"/>
  <c r="C386" i="2"/>
  <c r="C385" i="2"/>
  <c r="C384" i="2"/>
  <c r="C383" i="2"/>
  <c r="C382" i="2"/>
  <c r="E382" i="2" s="1"/>
  <c r="F382" i="2" s="1"/>
  <c r="C381" i="2"/>
  <c r="C380" i="2"/>
  <c r="C379" i="2"/>
  <c r="C378" i="2"/>
  <c r="E379" i="2" s="1"/>
  <c r="F379" i="2" s="1"/>
  <c r="C377" i="2"/>
  <c r="C376" i="2"/>
  <c r="C375" i="2"/>
  <c r="C374" i="2"/>
  <c r="E374" i="2" s="1"/>
  <c r="F374" i="2" s="1"/>
  <c r="C373" i="2"/>
  <c r="C372" i="2"/>
  <c r="C371" i="2"/>
  <c r="C370" i="2"/>
  <c r="E370" i="2" s="1"/>
  <c r="F370" i="2" s="1"/>
  <c r="C369" i="2"/>
  <c r="C368" i="2"/>
  <c r="C367" i="2"/>
  <c r="C366" i="2"/>
  <c r="E367" i="2" s="1"/>
  <c r="F367" i="2" s="1"/>
  <c r="C365" i="2"/>
  <c r="E366" i="2" s="1"/>
  <c r="F366" i="2" s="1"/>
  <c r="C364" i="2"/>
  <c r="C363" i="2"/>
  <c r="C362" i="2"/>
  <c r="E363" i="2" s="1"/>
  <c r="F363" i="2" s="1"/>
  <c r="C361" i="2"/>
  <c r="C360" i="2"/>
  <c r="C359" i="2"/>
  <c r="C358" i="2"/>
  <c r="E358" i="2" s="1"/>
  <c r="F358" i="2" s="1"/>
  <c r="C357" i="2"/>
  <c r="C356" i="2"/>
  <c r="C355" i="2"/>
  <c r="C354" i="2"/>
  <c r="E354" i="2" s="1"/>
  <c r="F354" i="2" s="1"/>
  <c r="C353" i="2"/>
  <c r="C352" i="2"/>
  <c r="C351" i="2"/>
  <c r="C350" i="2"/>
  <c r="E351" i="2" s="1"/>
  <c r="F351" i="2" s="1"/>
  <c r="C349" i="2"/>
  <c r="C348" i="2"/>
  <c r="C347" i="2"/>
  <c r="C346" i="2"/>
  <c r="E346" i="2" s="1"/>
  <c r="F346" i="2" s="1"/>
  <c r="C345" i="2"/>
  <c r="C344" i="2"/>
  <c r="C343" i="2"/>
  <c r="C342" i="2"/>
  <c r="C341" i="2"/>
  <c r="E342" i="2" s="1"/>
  <c r="F342" i="2" s="1"/>
  <c r="C340" i="2"/>
  <c r="C339" i="2"/>
  <c r="C338" i="2"/>
  <c r="E339" i="2" s="1"/>
  <c r="F339" i="2" s="1"/>
  <c r="C337" i="2"/>
  <c r="C336" i="2"/>
  <c r="C335" i="2"/>
  <c r="C334" i="2"/>
  <c r="E334" i="2" s="1"/>
  <c r="F334" i="2" s="1"/>
  <c r="C333" i="2"/>
  <c r="C332" i="2"/>
  <c r="C331" i="2"/>
  <c r="C330" i="2"/>
  <c r="E330" i="2" s="1"/>
  <c r="F330" i="2" s="1"/>
  <c r="C329" i="2"/>
  <c r="C328" i="2"/>
  <c r="C327" i="2"/>
  <c r="C326" i="2"/>
  <c r="C325" i="2"/>
  <c r="E326" i="2" s="1"/>
  <c r="F326" i="2" s="1"/>
  <c r="C324" i="2"/>
  <c r="C323" i="2"/>
  <c r="C322" i="2"/>
  <c r="E323" i="2" s="1"/>
  <c r="F323" i="2" s="1"/>
  <c r="C321" i="2"/>
  <c r="C320" i="2"/>
  <c r="C319" i="2"/>
  <c r="C318" i="2"/>
  <c r="E319" i="2" s="1"/>
  <c r="F319" i="2" s="1"/>
  <c r="C317" i="2"/>
  <c r="E318" i="2" s="1"/>
  <c r="F318" i="2" s="1"/>
  <c r="C316" i="2"/>
  <c r="C315" i="2"/>
  <c r="C314" i="2"/>
  <c r="C313" i="2"/>
  <c r="C312" i="2"/>
  <c r="C311" i="2"/>
  <c r="C310" i="2"/>
  <c r="E310" i="2" s="1"/>
  <c r="F310" i="2" s="1"/>
  <c r="C309" i="2"/>
  <c r="C308" i="2"/>
  <c r="C307" i="2"/>
  <c r="C306" i="2"/>
  <c r="E306" i="2" s="1"/>
  <c r="F306" i="2" s="1"/>
  <c r="C305" i="2"/>
  <c r="C304" i="2"/>
  <c r="C303" i="2"/>
  <c r="C302" i="2"/>
  <c r="C301" i="2"/>
  <c r="E302" i="2" s="1"/>
  <c r="F302" i="2" s="1"/>
  <c r="C300" i="2"/>
  <c r="C299" i="2"/>
  <c r="C298" i="2"/>
  <c r="C297" i="2"/>
  <c r="C296" i="2"/>
  <c r="C295" i="2"/>
  <c r="C294" i="2"/>
  <c r="E294" i="2" s="1"/>
  <c r="F294" i="2" s="1"/>
  <c r="C293" i="2"/>
  <c r="C292" i="2"/>
  <c r="C291" i="2"/>
  <c r="C290" i="2"/>
  <c r="E291" i="2" s="1"/>
  <c r="F291" i="2" s="1"/>
  <c r="C289" i="2"/>
  <c r="E290" i="2" s="1"/>
  <c r="F290" i="2" s="1"/>
  <c r="C288" i="2"/>
  <c r="C287" i="2"/>
  <c r="C286" i="2"/>
  <c r="C285" i="2"/>
  <c r="C284" i="2"/>
  <c r="C283" i="2"/>
  <c r="C282" i="2"/>
  <c r="E283" i="2" s="1"/>
  <c r="F283" i="2" s="1"/>
  <c r="C281" i="2"/>
  <c r="C280" i="2"/>
  <c r="C279" i="2"/>
  <c r="C278" i="2"/>
  <c r="E279" i="2" s="1"/>
  <c r="F279" i="2" s="1"/>
  <c r="C277" i="2"/>
  <c r="E278" i="2" s="1"/>
  <c r="F278" i="2" s="1"/>
  <c r="C276" i="2"/>
  <c r="C275" i="2"/>
  <c r="C274" i="2"/>
  <c r="C273" i="2"/>
  <c r="C272" i="2"/>
  <c r="C271" i="2"/>
  <c r="C270" i="2"/>
  <c r="E270" i="2" s="1"/>
  <c r="F270" i="2" s="1"/>
  <c r="C269" i="2"/>
  <c r="C268" i="2"/>
  <c r="C267" i="2"/>
  <c r="C266" i="2"/>
  <c r="E267" i="2" s="1"/>
  <c r="F267" i="2" s="1"/>
  <c r="C265" i="2"/>
  <c r="C264" i="2"/>
  <c r="C263" i="2"/>
  <c r="C262" i="2"/>
  <c r="E263" i="2" s="1"/>
  <c r="F263" i="2" s="1"/>
  <c r="C261" i="2"/>
  <c r="E262" i="2" s="1"/>
  <c r="F262" i="2" s="1"/>
  <c r="C260" i="2"/>
  <c r="C259" i="2"/>
  <c r="C258" i="2"/>
  <c r="C257" i="2"/>
  <c r="C256" i="2"/>
  <c r="C255" i="2"/>
  <c r="C254" i="2"/>
  <c r="E254" i="2" s="1"/>
  <c r="F254" i="2" s="1"/>
  <c r="C253" i="2"/>
  <c r="C252" i="2"/>
  <c r="C251" i="2"/>
  <c r="C250" i="2"/>
  <c r="E251" i="2" s="1"/>
  <c r="F251" i="2" s="1"/>
  <c r="C249" i="2"/>
  <c r="C248" i="2"/>
  <c r="C247" i="2"/>
  <c r="C246" i="2"/>
  <c r="E246" i="2" s="1"/>
  <c r="F246" i="2" s="1"/>
  <c r="C245" i="2"/>
  <c r="C244" i="2"/>
  <c r="C243" i="2"/>
  <c r="C242" i="2"/>
  <c r="E242" i="2" s="1"/>
  <c r="F242" i="2" s="1"/>
  <c r="C241" i="2"/>
  <c r="C240" i="2"/>
  <c r="C239" i="2"/>
  <c r="C238" i="2"/>
  <c r="E239" i="2" s="1"/>
  <c r="F239" i="2" s="1"/>
  <c r="C237" i="2"/>
  <c r="E238" i="2" s="1"/>
  <c r="F238" i="2" s="1"/>
  <c r="C236" i="2"/>
  <c r="C235" i="2"/>
  <c r="C234" i="2"/>
  <c r="E235" i="2" s="1"/>
  <c r="F235" i="2" s="1"/>
  <c r="C233" i="2"/>
  <c r="C232" i="2"/>
  <c r="C231" i="2"/>
  <c r="C230" i="2"/>
  <c r="E230" i="2" s="1"/>
  <c r="F230" i="2" s="1"/>
  <c r="C229" i="2"/>
  <c r="C228" i="2"/>
  <c r="C227" i="2"/>
  <c r="C226" i="2"/>
  <c r="E226" i="2" s="1"/>
  <c r="F226" i="2" s="1"/>
  <c r="C225" i="2"/>
  <c r="C224" i="2"/>
  <c r="C223" i="2"/>
  <c r="C222" i="2"/>
  <c r="E223" i="2" s="1"/>
  <c r="F223" i="2" s="1"/>
  <c r="C221" i="2"/>
  <c r="C220" i="2"/>
  <c r="C219" i="2"/>
  <c r="C218" i="2"/>
  <c r="E218" i="2" s="1"/>
  <c r="F218" i="2" s="1"/>
  <c r="C217" i="2"/>
  <c r="C216" i="2"/>
  <c r="C215" i="2"/>
  <c r="C214" i="2"/>
  <c r="C213" i="2"/>
  <c r="E214" i="2" s="1"/>
  <c r="F214" i="2" s="1"/>
  <c r="C212" i="2"/>
  <c r="C211" i="2"/>
  <c r="C210" i="2"/>
  <c r="E211" i="2" s="1"/>
  <c r="F211" i="2" s="1"/>
  <c r="C209" i="2"/>
  <c r="C208" i="2"/>
  <c r="C207" i="2"/>
  <c r="C206" i="2"/>
  <c r="E206" i="2" s="1"/>
  <c r="F206" i="2" s="1"/>
  <c r="C205" i="2"/>
  <c r="C204" i="2"/>
  <c r="C203" i="2"/>
  <c r="C202" i="2"/>
  <c r="E202" i="2" s="1"/>
  <c r="F202" i="2" s="1"/>
  <c r="C201" i="2"/>
  <c r="C200" i="2"/>
  <c r="C199" i="2"/>
  <c r="C198" i="2"/>
  <c r="C197" i="2"/>
  <c r="E198" i="2" s="1"/>
  <c r="F198" i="2" s="1"/>
  <c r="C196" i="2"/>
  <c r="C195" i="2"/>
  <c r="C194" i="2"/>
  <c r="E195" i="2" s="1"/>
  <c r="F195" i="2" s="1"/>
  <c r="C193" i="2"/>
  <c r="C192" i="2"/>
  <c r="C191" i="2"/>
  <c r="C190" i="2"/>
  <c r="E191" i="2" s="1"/>
  <c r="F191" i="2" s="1"/>
  <c r="C189" i="2"/>
  <c r="E190" i="2" s="1"/>
  <c r="F190" i="2" s="1"/>
  <c r="C188" i="2"/>
  <c r="C187" i="2"/>
  <c r="C186" i="2"/>
  <c r="C185" i="2"/>
  <c r="C184" i="2"/>
  <c r="C183" i="2"/>
  <c r="C182" i="2"/>
  <c r="E182" i="2" s="1"/>
  <c r="F182" i="2" s="1"/>
  <c r="C181" i="2"/>
  <c r="C180" i="2"/>
  <c r="C179" i="2"/>
  <c r="C178" i="2"/>
  <c r="E178" i="2" s="1"/>
  <c r="F178" i="2" s="1"/>
  <c r="C177" i="2"/>
  <c r="C176" i="2"/>
  <c r="C175" i="2"/>
  <c r="C174" i="2"/>
  <c r="C173" i="2"/>
  <c r="E174" i="2" s="1"/>
  <c r="F174" i="2" s="1"/>
  <c r="C172" i="2"/>
  <c r="C171" i="2"/>
  <c r="C170" i="2"/>
  <c r="C169" i="2"/>
  <c r="C168" i="2"/>
  <c r="C167" i="2"/>
  <c r="C166" i="2"/>
  <c r="E166" i="2" s="1"/>
  <c r="F166" i="2" s="1"/>
  <c r="C165" i="2"/>
  <c r="C164" i="2"/>
  <c r="C163" i="2"/>
  <c r="C162" i="2"/>
  <c r="E163" i="2" s="1"/>
  <c r="F163" i="2" s="1"/>
  <c r="C161" i="2"/>
  <c r="E162" i="2" s="1"/>
  <c r="F162" i="2" s="1"/>
  <c r="C160" i="2"/>
  <c r="C159" i="2"/>
  <c r="C158" i="2"/>
  <c r="C157" i="2"/>
  <c r="C156" i="2"/>
  <c r="C155" i="2"/>
  <c r="C154" i="2"/>
  <c r="E155" i="2" s="1"/>
  <c r="F155" i="2" s="1"/>
  <c r="C153" i="2"/>
  <c r="C152" i="2"/>
  <c r="C151" i="2"/>
  <c r="C150" i="2"/>
  <c r="E151" i="2" s="1"/>
  <c r="F151" i="2" s="1"/>
  <c r="C149" i="2"/>
  <c r="E150" i="2" s="1"/>
  <c r="F150" i="2" s="1"/>
  <c r="C148" i="2"/>
  <c r="C147" i="2"/>
  <c r="C146" i="2"/>
  <c r="C145" i="2"/>
  <c r="C144" i="2"/>
  <c r="C143" i="2"/>
  <c r="C142" i="2"/>
  <c r="E142" i="2" s="1"/>
  <c r="F142" i="2" s="1"/>
  <c r="C141" i="2"/>
  <c r="C140" i="2"/>
  <c r="C139" i="2"/>
  <c r="C138" i="2"/>
  <c r="E139" i="2" s="1"/>
  <c r="F139" i="2" s="1"/>
  <c r="C137" i="2"/>
  <c r="C136" i="2"/>
  <c r="C135" i="2"/>
  <c r="C134" i="2"/>
  <c r="E135" i="2" s="1"/>
  <c r="F135" i="2" s="1"/>
  <c r="C133" i="2"/>
  <c r="E134" i="2" s="1"/>
  <c r="F134" i="2" s="1"/>
  <c r="C132" i="2"/>
  <c r="C131" i="2"/>
  <c r="C130" i="2"/>
  <c r="C129" i="2"/>
  <c r="C128" i="2"/>
  <c r="C127" i="2"/>
  <c r="C126" i="2"/>
  <c r="E126" i="2" s="1"/>
  <c r="F126" i="2" s="1"/>
  <c r="C125" i="2"/>
  <c r="C124" i="2"/>
  <c r="C123" i="2"/>
  <c r="C122" i="2"/>
  <c r="E123" i="2" s="1"/>
  <c r="F123" i="2" s="1"/>
  <c r="C121" i="2"/>
  <c r="C120" i="2"/>
  <c r="C119" i="2"/>
  <c r="C118" i="2"/>
  <c r="E118" i="2" s="1"/>
  <c r="F118" i="2" s="1"/>
  <c r="C117" i="2"/>
  <c r="C116" i="2"/>
  <c r="C115" i="2"/>
  <c r="C114" i="2"/>
  <c r="E114" i="2" s="1"/>
  <c r="F114" i="2" s="1"/>
  <c r="C113" i="2"/>
  <c r="C112" i="2"/>
  <c r="C111" i="2"/>
  <c r="C110" i="2"/>
  <c r="E111" i="2" s="1"/>
  <c r="F111" i="2" s="1"/>
  <c r="C109" i="2"/>
  <c r="E110" i="2" s="1"/>
  <c r="F110" i="2" s="1"/>
  <c r="C108" i="2"/>
  <c r="C107" i="2"/>
  <c r="C106" i="2"/>
  <c r="E107" i="2" s="1"/>
  <c r="F107" i="2" s="1"/>
  <c r="C105" i="2"/>
  <c r="C104" i="2"/>
  <c r="C103" i="2"/>
  <c r="C102" i="2"/>
  <c r="E102" i="2" s="1"/>
  <c r="F102" i="2" s="1"/>
  <c r="C101" i="2"/>
  <c r="E101" i="2" s="1"/>
  <c r="F101" i="2" s="1"/>
  <c r="C100" i="2"/>
  <c r="C99" i="2"/>
  <c r="C98" i="2"/>
  <c r="E98" i="2" s="1"/>
  <c r="F98" i="2" s="1"/>
  <c r="C97" i="2"/>
  <c r="C96" i="2"/>
  <c r="C95" i="2"/>
  <c r="C94" i="2"/>
  <c r="E95" i="2" s="1"/>
  <c r="F95" i="2" s="1"/>
  <c r="C93" i="2"/>
  <c r="E93" i="2" s="1"/>
  <c r="F93" i="2" s="1"/>
  <c r="C92" i="2"/>
  <c r="C91" i="2"/>
  <c r="C90" i="2"/>
  <c r="C89" i="2"/>
  <c r="C88" i="2"/>
  <c r="C87" i="2"/>
  <c r="C86" i="2"/>
  <c r="E86" i="2" s="1"/>
  <c r="F86" i="2" s="1"/>
  <c r="C85" i="2"/>
  <c r="E85" i="2" s="1"/>
  <c r="F85" i="2" s="1"/>
  <c r="C84" i="2"/>
  <c r="C83" i="2"/>
  <c r="C82" i="2"/>
  <c r="E83" i="2" s="1"/>
  <c r="F83" i="2" s="1"/>
  <c r="C81" i="2"/>
  <c r="C80" i="2"/>
  <c r="C79" i="2"/>
  <c r="C78" i="2"/>
  <c r="E79" i="2" s="1"/>
  <c r="F79" i="2" s="1"/>
  <c r="C77" i="2"/>
  <c r="E77" i="2" s="1"/>
  <c r="F77" i="2" s="1"/>
  <c r="C76" i="2"/>
  <c r="C75" i="2"/>
  <c r="C74" i="2"/>
  <c r="C73" i="2"/>
  <c r="C72" i="2"/>
  <c r="C71" i="2"/>
  <c r="C70" i="2"/>
  <c r="E70" i="2" s="1"/>
  <c r="F70" i="2" s="1"/>
  <c r="C69" i="2"/>
  <c r="E69" i="2" s="1"/>
  <c r="F69" i="2" s="1"/>
  <c r="C68" i="2"/>
  <c r="C67" i="2"/>
  <c r="C66" i="2"/>
  <c r="E66" i="2" s="1"/>
  <c r="F66" i="2" s="1"/>
  <c r="C65" i="2"/>
  <c r="C64" i="2"/>
  <c r="C63" i="2"/>
  <c r="C62" i="2"/>
  <c r="C61" i="2"/>
  <c r="E61" i="2" s="1"/>
  <c r="F61" i="2" s="1"/>
  <c r="C60" i="2"/>
  <c r="C59" i="2"/>
  <c r="C58" i="2"/>
  <c r="E59" i="2" s="1"/>
  <c r="F59" i="2" s="1"/>
  <c r="C57" i="2"/>
  <c r="E58" i="2" s="1"/>
  <c r="F58" i="2" s="1"/>
  <c r="C56" i="2"/>
  <c r="C55" i="2"/>
  <c r="C54" i="2"/>
  <c r="E55" i="2" s="1"/>
  <c r="F55" i="2" s="1"/>
  <c r="C53" i="2"/>
  <c r="C52" i="2"/>
  <c r="C51" i="2"/>
  <c r="C50" i="2"/>
  <c r="E50" i="2" s="1"/>
  <c r="F50" i="2" s="1"/>
  <c r="C49" i="2"/>
  <c r="C48" i="2"/>
  <c r="C47" i="2"/>
  <c r="C46" i="2"/>
  <c r="C45" i="2"/>
  <c r="E45" i="2" s="1"/>
  <c r="F45" i="2" s="1"/>
  <c r="C44" i="2"/>
  <c r="C43" i="2"/>
  <c r="C42" i="2"/>
  <c r="E43" i="2" s="1"/>
  <c r="F43" i="2" s="1"/>
  <c r="C41" i="2"/>
  <c r="E42" i="2" s="1"/>
  <c r="F42" i="2" s="1"/>
  <c r="C40" i="2"/>
  <c r="C39" i="2"/>
  <c r="C38" i="2"/>
  <c r="E39" i="2" s="1"/>
  <c r="F39" i="2" s="1"/>
  <c r="C37" i="2"/>
  <c r="E37" i="2" s="1"/>
  <c r="F37" i="2" s="1"/>
  <c r="C36" i="2"/>
  <c r="C35" i="2"/>
  <c r="C34" i="2"/>
  <c r="C33" i="2"/>
  <c r="C32" i="2"/>
  <c r="C31" i="2"/>
  <c r="C30" i="2"/>
  <c r="E31" i="2" s="1"/>
  <c r="F31" i="2" s="1"/>
  <c r="C29" i="2"/>
  <c r="E29" i="2" s="1"/>
  <c r="F29" i="2" s="1"/>
  <c r="C28" i="2"/>
  <c r="C27" i="2"/>
  <c r="C26" i="2"/>
  <c r="E26" i="2" s="1"/>
  <c r="F26" i="2" s="1"/>
  <c r="C25" i="2"/>
  <c r="C24" i="2"/>
  <c r="C23" i="2"/>
  <c r="C22" i="2"/>
  <c r="C21" i="2"/>
  <c r="E22" i="2" s="1"/>
  <c r="F22" i="2" s="1"/>
  <c r="C20" i="2"/>
  <c r="C19" i="2"/>
  <c r="C18" i="2"/>
  <c r="E19" i="2" s="1"/>
  <c r="F19" i="2" s="1"/>
  <c r="C17" i="2"/>
  <c r="C16" i="2"/>
  <c r="C15" i="2"/>
  <c r="C14" i="2"/>
  <c r="E15" i="2" s="1"/>
  <c r="F15" i="2" s="1"/>
  <c r="C13" i="2"/>
  <c r="E13" i="2" s="1"/>
  <c r="F13" i="2" s="1"/>
  <c r="C12" i="2"/>
  <c r="C11" i="2"/>
  <c r="C10" i="2"/>
  <c r="E10" i="2" s="1"/>
  <c r="F10" i="2" s="1"/>
  <c r="C9" i="2"/>
  <c r="C8" i="2"/>
  <c r="C7" i="2"/>
  <c r="C6" i="2"/>
  <c r="E6" i="2" s="1"/>
  <c r="F6" i="2" s="1"/>
  <c r="C5" i="2"/>
  <c r="E5" i="2" s="1"/>
  <c r="F5" i="2" s="1"/>
  <c r="C4" i="2"/>
  <c r="C3" i="2"/>
  <c r="E426" i="2"/>
  <c r="F426" i="2" s="1"/>
  <c r="E402" i="2"/>
  <c r="F402" i="2" s="1"/>
  <c r="E378" i="2"/>
  <c r="F378" i="2" s="1"/>
  <c r="E362" i="2"/>
  <c r="F362" i="2" s="1"/>
  <c r="E338" i="2"/>
  <c r="F338" i="2" s="1"/>
  <c r="E314" i="2"/>
  <c r="F314" i="2" s="1"/>
  <c r="E298" i="2"/>
  <c r="F298" i="2" s="1"/>
  <c r="E274" i="2"/>
  <c r="F274" i="2" s="1"/>
  <c r="E250" i="2"/>
  <c r="F250" i="2" s="1"/>
  <c r="E234" i="2"/>
  <c r="F234" i="2" s="1"/>
  <c r="E210" i="2"/>
  <c r="F210" i="2" s="1"/>
  <c r="E186" i="2"/>
  <c r="F186" i="2" s="1"/>
  <c r="E170" i="2"/>
  <c r="F170" i="2" s="1"/>
  <c r="E146" i="2"/>
  <c r="F146" i="2" s="1"/>
  <c r="E122" i="2"/>
  <c r="F122" i="2" s="1"/>
  <c r="E106" i="2"/>
  <c r="F106" i="2" s="1"/>
  <c r="E90" i="2"/>
  <c r="F90" i="2" s="1"/>
  <c r="E74" i="2"/>
  <c r="F74" i="2" s="1"/>
  <c r="E54" i="2"/>
  <c r="F54" i="2" s="1"/>
  <c r="E34" i="2"/>
  <c r="F34" i="2" s="1"/>
  <c r="E18" i="2"/>
  <c r="F18" i="2" s="1"/>
  <c r="E386" i="2"/>
  <c r="F386" i="2" s="1"/>
  <c r="E258" i="2"/>
  <c r="F258" i="2" s="1"/>
  <c r="E130" i="2"/>
  <c r="F130" i="2" s="1"/>
  <c r="E53" i="2"/>
  <c r="F53" i="2" s="1"/>
  <c r="E49" i="2"/>
  <c r="F49" i="2" s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E427" i="2"/>
  <c r="F427" i="2" s="1"/>
  <c r="E415" i="2"/>
  <c r="F415" i="2" s="1"/>
  <c r="E414" i="2"/>
  <c r="F414" i="2" s="1"/>
  <c r="E403" i="2"/>
  <c r="F403" i="2" s="1"/>
  <c r="E399" i="2"/>
  <c r="F399" i="2" s="1"/>
  <c r="E387" i="2"/>
  <c r="F387" i="2" s="1"/>
  <c r="E383" i="2"/>
  <c r="F383" i="2" s="1"/>
  <c r="E375" i="2"/>
  <c r="F375" i="2" s="1"/>
  <c r="E371" i="2"/>
  <c r="F371" i="2" s="1"/>
  <c r="E359" i="2"/>
  <c r="F359" i="2" s="1"/>
  <c r="E355" i="2"/>
  <c r="F355" i="2" s="1"/>
  <c r="E347" i="2"/>
  <c r="F347" i="2" s="1"/>
  <c r="E343" i="2"/>
  <c r="F343" i="2" s="1"/>
  <c r="E331" i="2"/>
  <c r="F331" i="2" s="1"/>
  <c r="E327" i="2"/>
  <c r="F327" i="2" s="1"/>
  <c r="E315" i="2"/>
  <c r="F315" i="2" s="1"/>
  <c r="E303" i="2"/>
  <c r="F303" i="2" s="1"/>
  <c r="E299" i="2"/>
  <c r="F299" i="2" s="1"/>
  <c r="E287" i="2"/>
  <c r="F287" i="2" s="1"/>
  <c r="E286" i="2"/>
  <c r="F286" i="2" s="1"/>
  <c r="E275" i="2"/>
  <c r="F275" i="2" s="1"/>
  <c r="E271" i="2"/>
  <c r="F271" i="2" s="1"/>
  <c r="E259" i="2"/>
  <c r="F259" i="2" s="1"/>
  <c r="E255" i="2"/>
  <c r="F255" i="2" s="1"/>
  <c r="E247" i="2"/>
  <c r="F247" i="2" s="1"/>
  <c r="E243" i="2"/>
  <c r="F243" i="2" s="1"/>
  <c r="E231" i="2"/>
  <c r="F231" i="2" s="1"/>
  <c r="E227" i="2"/>
  <c r="F227" i="2" s="1"/>
  <c r="E219" i="2"/>
  <c r="F219" i="2" s="1"/>
  <c r="E215" i="2"/>
  <c r="F215" i="2" s="1"/>
  <c r="E203" i="2"/>
  <c r="F203" i="2" s="1"/>
  <c r="E199" i="2"/>
  <c r="F199" i="2" s="1"/>
  <c r="E187" i="2"/>
  <c r="F187" i="2" s="1"/>
  <c r="E175" i="2"/>
  <c r="F175" i="2" s="1"/>
  <c r="E171" i="2"/>
  <c r="F171" i="2" s="1"/>
  <c r="E159" i="2"/>
  <c r="F159" i="2" s="1"/>
  <c r="E158" i="2"/>
  <c r="F158" i="2" s="1"/>
  <c r="E147" i="2"/>
  <c r="F147" i="2" s="1"/>
  <c r="E143" i="2"/>
  <c r="F143" i="2" s="1"/>
  <c r="E131" i="2"/>
  <c r="F131" i="2" s="1"/>
  <c r="E127" i="2"/>
  <c r="F127" i="2" s="1"/>
  <c r="E119" i="2"/>
  <c r="F119" i="2" s="1"/>
  <c r="E115" i="2"/>
  <c r="F115" i="2" s="1"/>
  <c r="E103" i="2"/>
  <c r="F103" i="2" s="1"/>
  <c r="E99" i="2"/>
  <c r="F99" i="2" s="1"/>
  <c r="E91" i="2"/>
  <c r="F91" i="2" s="1"/>
  <c r="E87" i="2"/>
  <c r="F87" i="2" s="1"/>
  <c r="E75" i="2"/>
  <c r="F75" i="2" s="1"/>
  <c r="E71" i="2"/>
  <c r="F71" i="2" s="1"/>
  <c r="E63" i="2"/>
  <c r="F63" i="2" s="1"/>
  <c r="E62" i="2"/>
  <c r="F62" i="2" s="1"/>
  <c r="E51" i="2"/>
  <c r="F51" i="2" s="1"/>
  <c r="E47" i="2"/>
  <c r="F47" i="2" s="1"/>
  <c r="E35" i="2"/>
  <c r="F35" i="2" s="1"/>
  <c r="E27" i="2"/>
  <c r="F27" i="2" s="1"/>
  <c r="E23" i="2"/>
  <c r="F23" i="2" s="1"/>
  <c r="E11" i="2"/>
  <c r="F11" i="2" s="1"/>
  <c r="E7" i="2"/>
  <c r="F7" i="2" s="1"/>
  <c r="E38" i="2" l="1"/>
  <c r="F38" i="2" s="1"/>
  <c r="E30" i="2"/>
  <c r="F30" i="2" s="1"/>
  <c r="E67" i="2"/>
  <c r="F67" i="2" s="1"/>
  <c r="E94" i="2"/>
  <c r="F94" i="2" s="1"/>
  <c r="E179" i="2"/>
  <c r="F179" i="2" s="1"/>
  <c r="E207" i="2"/>
  <c r="F207" i="2" s="1"/>
  <c r="E222" i="2"/>
  <c r="F222" i="2" s="1"/>
  <c r="E307" i="2"/>
  <c r="F307" i="2" s="1"/>
  <c r="E335" i="2"/>
  <c r="F335" i="2" s="1"/>
  <c r="E350" i="2"/>
  <c r="F350" i="2" s="1"/>
  <c r="E21" i="2"/>
  <c r="F21" i="2" s="1"/>
  <c r="E194" i="2"/>
  <c r="F194" i="2" s="1"/>
  <c r="E322" i="2"/>
  <c r="F322" i="2" s="1"/>
  <c r="E82" i="2"/>
  <c r="F82" i="2" s="1"/>
  <c r="E138" i="2"/>
  <c r="F138" i="2" s="1"/>
  <c r="E154" i="2"/>
  <c r="F154" i="2" s="1"/>
  <c r="E266" i="2"/>
  <c r="F266" i="2" s="1"/>
  <c r="E282" i="2"/>
  <c r="F282" i="2" s="1"/>
  <c r="E394" i="2"/>
  <c r="F394" i="2" s="1"/>
  <c r="E410" i="2"/>
  <c r="F410" i="2" s="1"/>
  <c r="E167" i="2"/>
  <c r="F167" i="2" s="1"/>
  <c r="E183" i="2"/>
  <c r="F183" i="2" s="1"/>
  <c r="E295" i="2"/>
  <c r="F295" i="2" s="1"/>
  <c r="E311" i="2"/>
  <c r="F311" i="2" s="1"/>
  <c r="E423" i="2"/>
  <c r="F423" i="2" s="1"/>
  <c r="E65" i="2"/>
  <c r="F65" i="2" s="1"/>
  <c r="E14" i="2"/>
  <c r="F14" i="2" s="1"/>
  <c r="E46" i="2"/>
  <c r="F46" i="2" s="1"/>
  <c r="E78" i="2"/>
  <c r="F78" i="2" s="1"/>
  <c r="E17" i="2"/>
  <c r="F17" i="2" s="1"/>
  <c r="E81" i="2"/>
  <c r="F81" i="2" s="1"/>
  <c r="E33" i="2"/>
  <c r="F33" i="2" s="1"/>
  <c r="E97" i="2"/>
  <c r="F97" i="2" s="1"/>
  <c r="E9" i="2"/>
  <c r="F9" i="2" s="1"/>
  <c r="E25" i="2"/>
  <c r="F25" i="2" s="1"/>
  <c r="E41" i="2"/>
  <c r="F41" i="2" s="1"/>
  <c r="E57" i="2"/>
  <c r="F57" i="2" s="1"/>
  <c r="E73" i="2"/>
  <c r="F73" i="2" s="1"/>
  <c r="E89" i="2"/>
  <c r="F89" i="2" s="1"/>
  <c r="E105" i="2"/>
  <c r="F105" i="2" s="1"/>
  <c r="E113" i="2"/>
  <c r="F113" i="2" s="1"/>
  <c r="E112" i="2"/>
  <c r="F112" i="2" s="1"/>
  <c r="E125" i="2"/>
  <c r="F125" i="2" s="1"/>
  <c r="E124" i="2"/>
  <c r="F124" i="2" s="1"/>
  <c r="E133" i="2"/>
  <c r="F133" i="2" s="1"/>
  <c r="E132" i="2"/>
  <c r="F132" i="2" s="1"/>
  <c r="E141" i="2"/>
  <c r="F141" i="2" s="1"/>
  <c r="E140" i="2"/>
  <c r="F140" i="2" s="1"/>
  <c r="E153" i="2"/>
  <c r="F153" i="2" s="1"/>
  <c r="E152" i="2"/>
  <c r="F152" i="2" s="1"/>
  <c r="E165" i="2"/>
  <c r="F165" i="2" s="1"/>
  <c r="E164" i="2"/>
  <c r="F164" i="2" s="1"/>
  <c r="E181" i="2"/>
  <c r="F181" i="2" s="1"/>
  <c r="E180" i="2"/>
  <c r="F180" i="2" s="1"/>
  <c r="E197" i="2"/>
  <c r="F197" i="2" s="1"/>
  <c r="E196" i="2"/>
  <c r="F196" i="2" s="1"/>
  <c r="E205" i="2"/>
  <c r="F205" i="2" s="1"/>
  <c r="E204" i="2"/>
  <c r="F204" i="2" s="1"/>
  <c r="E217" i="2"/>
  <c r="F217" i="2" s="1"/>
  <c r="E216" i="2"/>
  <c r="F216" i="2" s="1"/>
  <c r="E229" i="2"/>
  <c r="F229" i="2" s="1"/>
  <c r="E228" i="2"/>
  <c r="F228" i="2" s="1"/>
  <c r="E237" i="2"/>
  <c r="F237" i="2" s="1"/>
  <c r="E236" i="2"/>
  <c r="F236" i="2" s="1"/>
  <c r="E249" i="2"/>
  <c r="F249" i="2" s="1"/>
  <c r="E248" i="2"/>
  <c r="F248" i="2" s="1"/>
  <c r="E257" i="2"/>
  <c r="F257" i="2" s="1"/>
  <c r="E256" i="2"/>
  <c r="F256" i="2" s="1"/>
  <c r="E269" i="2"/>
  <c r="F269" i="2" s="1"/>
  <c r="E268" i="2"/>
  <c r="F268" i="2" s="1"/>
  <c r="E277" i="2"/>
  <c r="F277" i="2" s="1"/>
  <c r="E276" i="2"/>
  <c r="F276" i="2" s="1"/>
  <c r="E289" i="2"/>
  <c r="F289" i="2" s="1"/>
  <c r="E288" i="2"/>
  <c r="F288" i="2" s="1"/>
  <c r="E297" i="2"/>
  <c r="F297" i="2" s="1"/>
  <c r="E296" i="2"/>
  <c r="F296" i="2" s="1"/>
  <c r="E309" i="2"/>
  <c r="F309" i="2" s="1"/>
  <c r="E308" i="2"/>
  <c r="F308" i="2" s="1"/>
  <c r="E321" i="2"/>
  <c r="F321" i="2" s="1"/>
  <c r="E320" i="2"/>
  <c r="F320" i="2" s="1"/>
  <c r="E329" i="2"/>
  <c r="F329" i="2" s="1"/>
  <c r="E328" i="2"/>
  <c r="F328" i="2" s="1"/>
  <c r="E341" i="2"/>
  <c r="F341" i="2" s="1"/>
  <c r="E340" i="2"/>
  <c r="F340" i="2" s="1"/>
  <c r="E353" i="2"/>
  <c r="F353" i="2" s="1"/>
  <c r="E352" i="2"/>
  <c r="F352" i="2" s="1"/>
  <c r="E365" i="2"/>
  <c r="F365" i="2" s="1"/>
  <c r="E364" i="2"/>
  <c r="F364" i="2" s="1"/>
  <c r="E381" i="2"/>
  <c r="F381" i="2" s="1"/>
  <c r="E380" i="2"/>
  <c r="F380" i="2" s="1"/>
  <c r="E385" i="2"/>
  <c r="F385" i="2" s="1"/>
  <c r="E384" i="2"/>
  <c r="F384" i="2" s="1"/>
  <c r="E401" i="2"/>
  <c r="F401" i="2" s="1"/>
  <c r="E400" i="2"/>
  <c r="F400" i="2" s="1"/>
  <c r="E409" i="2"/>
  <c r="F409" i="2" s="1"/>
  <c r="E408" i="2"/>
  <c r="F408" i="2" s="1"/>
  <c r="E425" i="2"/>
  <c r="F425" i="2" s="1"/>
  <c r="E424" i="2"/>
  <c r="F424" i="2" s="1"/>
  <c r="E117" i="2"/>
  <c r="F117" i="2" s="1"/>
  <c r="E116" i="2"/>
  <c r="F116" i="2" s="1"/>
  <c r="E129" i="2"/>
  <c r="F129" i="2" s="1"/>
  <c r="E128" i="2"/>
  <c r="F128" i="2" s="1"/>
  <c r="E149" i="2"/>
  <c r="F149" i="2" s="1"/>
  <c r="E148" i="2"/>
  <c r="F148" i="2" s="1"/>
  <c r="E161" i="2"/>
  <c r="F161" i="2" s="1"/>
  <c r="E160" i="2"/>
  <c r="F160" i="2" s="1"/>
  <c r="E173" i="2"/>
  <c r="F173" i="2" s="1"/>
  <c r="E172" i="2"/>
  <c r="F172" i="2" s="1"/>
  <c r="E189" i="2"/>
  <c r="F189" i="2" s="1"/>
  <c r="E188" i="2"/>
  <c r="F188" i="2" s="1"/>
  <c r="E213" i="2"/>
  <c r="F213" i="2" s="1"/>
  <c r="E212" i="2"/>
  <c r="F212" i="2" s="1"/>
  <c r="E225" i="2"/>
  <c r="F225" i="2" s="1"/>
  <c r="E224" i="2"/>
  <c r="F224" i="2" s="1"/>
  <c r="E245" i="2"/>
  <c r="F245" i="2" s="1"/>
  <c r="E244" i="2"/>
  <c r="F244" i="2" s="1"/>
  <c r="E265" i="2"/>
  <c r="F265" i="2" s="1"/>
  <c r="E264" i="2"/>
  <c r="F264" i="2" s="1"/>
  <c r="E281" i="2"/>
  <c r="F281" i="2" s="1"/>
  <c r="E280" i="2"/>
  <c r="F280" i="2" s="1"/>
  <c r="E301" i="2"/>
  <c r="F301" i="2" s="1"/>
  <c r="E300" i="2"/>
  <c r="F300" i="2" s="1"/>
  <c r="E317" i="2"/>
  <c r="F317" i="2" s="1"/>
  <c r="E316" i="2"/>
  <c r="F316" i="2" s="1"/>
  <c r="E333" i="2"/>
  <c r="F333" i="2" s="1"/>
  <c r="E332" i="2"/>
  <c r="F332" i="2" s="1"/>
  <c r="E349" i="2"/>
  <c r="F349" i="2" s="1"/>
  <c r="E348" i="2"/>
  <c r="F348" i="2" s="1"/>
  <c r="E361" i="2"/>
  <c r="F361" i="2" s="1"/>
  <c r="E360" i="2"/>
  <c r="F360" i="2" s="1"/>
  <c r="E377" i="2"/>
  <c r="F377" i="2" s="1"/>
  <c r="E376" i="2"/>
  <c r="F376" i="2" s="1"/>
  <c r="E393" i="2"/>
  <c r="F393" i="2" s="1"/>
  <c r="E392" i="2"/>
  <c r="F392" i="2" s="1"/>
  <c r="E405" i="2"/>
  <c r="F405" i="2" s="1"/>
  <c r="E404" i="2"/>
  <c r="F404" i="2" s="1"/>
  <c r="E421" i="2"/>
  <c r="F421" i="2" s="1"/>
  <c r="E420" i="2"/>
  <c r="F420" i="2" s="1"/>
  <c r="E4" i="2"/>
  <c r="F4" i="2" s="1"/>
  <c r="D4" i="2" s="1"/>
  <c r="D5" i="2" s="1"/>
  <c r="D6" i="2" s="1"/>
  <c r="D7" i="2" s="1"/>
  <c r="E16" i="2"/>
  <c r="F16" i="2" s="1"/>
  <c r="E24" i="2"/>
  <c r="F24" i="2" s="1"/>
  <c r="E36" i="2"/>
  <c r="F36" i="2" s="1"/>
  <c r="E44" i="2"/>
  <c r="F44" i="2" s="1"/>
  <c r="E52" i="2"/>
  <c r="F52" i="2" s="1"/>
  <c r="E64" i="2"/>
  <c r="F64" i="2" s="1"/>
  <c r="E72" i="2"/>
  <c r="F72" i="2" s="1"/>
  <c r="E84" i="2"/>
  <c r="F84" i="2" s="1"/>
  <c r="E92" i="2"/>
  <c r="F92" i="2" s="1"/>
  <c r="E104" i="2"/>
  <c r="F104" i="2" s="1"/>
  <c r="E109" i="2"/>
  <c r="F109" i="2" s="1"/>
  <c r="E108" i="2"/>
  <c r="F108" i="2" s="1"/>
  <c r="E121" i="2"/>
  <c r="F121" i="2" s="1"/>
  <c r="E120" i="2"/>
  <c r="F120" i="2" s="1"/>
  <c r="E137" i="2"/>
  <c r="F137" i="2" s="1"/>
  <c r="E136" i="2"/>
  <c r="F136" i="2" s="1"/>
  <c r="E145" i="2"/>
  <c r="F145" i="2" s="1"/>
  <c r="E144" i="2"/>
  <c r="F144" i="2" s="1"/>
  <c r="E157" i="2"/>
  <c r="F157" i="2" s="1"/>
  <c r="E156" i="2"/>
  <c r="F156" i="2" s="1"/>
  <c r="E169" i="2"/>
  <c r="F169" i="2" s="1"/>
  <c r="E168" i="2"/>
  <c r="F168" i="2" s="1"/>
  <c r="E177" i="2"/>
  <c r="F177" i="2" s="1"/>
  <c r="E176" i="2"/>
  <c r="F176" i="2" s="1"/>
  <c r="E185" i="2"/>
  <c r="F185" i="2" s="1"/>
  <c r="E184" i="2"/>
  <c r="F184" i="2" s="1"/>
  <c r="E193" i="2"/>
  <c r="F193" i="2" s="1"/>
  <c r="E192" i="2"/>
  <c r="F192" i="2" s="1"/>
  <c r="E201" i="2"/>
  <c r="F201" i="2" s="1"/>
  <c r="E200" i="2"/>
  <c r="F200" i="2" s="1"/>
  <c r="E209" i="2"/>
  <c r="F209" i="2" s="1"/>
  <c r="E208" i="2"/>
  <c r="F208" i="2" s="1"/>
  <c r="E221" i="2"/>
  <c r="F221" i="2" s="1"/>
  <c r="E220" i="2"/>
  <c r="F220" i="2" s="1"/>
  <c r="E233" i="2"/>
  <c r="F233" i="2" s="1"/>
  <c r="E232" i="2"/>
  <c r="F232" i="2" s="1"/>
  <c r="E241" i="2"/>
  <c r="F241" i="2" s="1"/>
  <c r="E240" i="2"/>
  <c r="F240" i="2" s="1"/>
  <c r="E253" i="2"/>
  <c r="F253" i="2" s="1"/>
  <c r="E252" i="2"/>
  <c r="F252" i="2" s="1"/>
  <c r="E261" i="2"/>
  <c r="F261" i="2" s="1"/>
  <c r="E260" i="2"/>
  <c r="F260" i="2" s="1"/>
  <c r="E273" i="2"/>
  <c r="F273" i="2" s="1"/>
  <c r="E272" i="2"/>
  <c r="F272" i="2" s="1"/>
  <c r="E285" i="2"/>
  <c r="F285" i="2" s="1"/>
  <c r="E284" i="2"/>
  <c r="F284" i="2" s="1"/>
  <c r="E293" i="2"/>
  <c r="F293" i="2" s="1"/>
  <c r="E292" i="2"/>
  <c r="F292" i="2" s="1"/>
  <c r="E305" i="2"/>
  <c r="F305" i="2" s="1"/>
  <c r="E304" i="2"/>
  <c r="F304" i="2" s="1"/>
  <c r="E313" i="2"/>
  <c r="F313" i="2" s="1"/>
  <c r="E312" i="2"/>
  <c r="F312" i="2" s="1"/>
  <c r="E325" i="2"/>
  <c r="F325" i="2" s="1"/>
  <c r="E324" i="2"/>
  <c r="F324" i="2" s="1"/>
  <c r="E337" i="2"/>
  <c r="F337" i="2" s="1"/>
  <c r="E336" i="2"/>
  <c r="F336" i="2" s="1"/>
  <c r="E345" i="2"/>
  <c r="F345" i="2" s="1"/>
  <c r="E344" i="2"/>
  <c r="F344" i="2" s="1"/>
  <c r="E357" i="2"/>
  <c r="F357" i="2" s="1"/>
  <c r="E356" i="2"/>
  <c r="F356" i="2" s="1"/>
  <c r="E369" i="2"/>
  <c r="F369" i="2" s="1"/>
  <c r="E368" i="2"/>
  <c r="F368" i="2" s="1"/>
  <c r="E373" i="2"/>
  <c r="F373" i="2" s="1"/>
  <c r="E372" i="2"/>
  <c r="F372" i="2" s="1"/>
  <c r="E389" i="2"/>
  <c r="F389" i="2" s="1"/>
  <c r="E388" i="2"/>
  <c r="F388" i="2" s="1"/>
  <c r="E397" i="2"/>
  <c r="F397" i="2" s="1"/>
  <c r="E396" i="2"/>
  <c r="F396" i="2" s="1"/>
  <c r="E413" i="2"/>
  <c r="F413" i="2" s="1"/>
  <c r="E412" i="2"/>
  <c r="F412" i="2" s="1"/>
  <c r="E417" i="2"/>
  <c r="F417" i="2" s="1"/>
  <c r="E416" i="2"/>
  <c r="F416" i="2" s="1"/>
  <c r="E8" i="2"/>
  <c r="F8" i="2" s="1"/>
  <c r="E12" i="2"/>
  <c r="F12" i="2" s="1"/>
  <c r="E20" i="2"/>
  <c r="F20" i="2" s="1"/>
  <c r="E28" i="2"/>
  <c r="F28" i="2" s="1"/>
  <c r="E32" i="2"/>
  <c r="F32" i="2" s="1"/>
  <c r="E40" i="2"/>
  <c r="F40" i="2" s="1"/>
  <c r="E48" i="2"/>
  <c r="F48" i="2" s="1"/>
  <c r="E56" i="2"/>
  <c r="F56" i="2" s="1"/>
  <c r="E60" i="2"/>
  <c r="F60" i="2" s="1"/>
  <c r="E68" i="2"/>
  <c r="F68" i="2" s="1"/>
  <c r="E76" i="2"/>
  <c r="F76" i="2" s="1"/>
  <c r="E80" i="2"/>
  <c r="F80" i="2" s="1"/>
  <c r="E88" i="2"/>
  <c r="F88" i="2" s="1"/>
  <c r="E96" i="2"/>
  <c r="F96" i="2" s="1"/>
  <c r="E100" i="2"/>
  <c r="F100" i="2" s="1"/>
  <c r="D8" i="2" l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oecd_pt_inflation" description="Connection to the 'oecd_pt_inflation' query in the workbook." type="5" refreshedVersion="6" background="1" saveData="1">
    <dbPr connection="Provider=Microsoft.Mashup.OleDb.1;Data Source=$Workbook$;Location=oecd_pt_inflation;Extended Properties=&quot;&quot;" command="SELECT * FROM [oecd_pt_inflation]"/>
  </connection>
  <connection id="2" xr16:uid="{89366C8C-AE37-4E06-83CA-5C66978D111D}" keepAlive="1" name="Query - oecd_pt_inflation_yearly" description="Connection to the 'oecd_pt_inflation_yearly' query in the workbook." type="5" refreshedVersion="6" background="1" saveData="1">
    <dbPr connection="Provider=Microsoft.Mashup.OleDb.1;Data Source=$Workbook$;Location=oecd_pt_inflation_yearly;Extended Properties=&quot;&quot;" command="SELECT * FROM [oecd_pt_inflation_yearly]"/>
  </connection>
</connections>
</file>

<file path=xl/sharedStrings.xml><?xml version="1.0" encoding="utf-8"?>
<sst xmlns="http://schemas.openxmlformats.org/spreadsheetml/2006/main" count="5156" uniqueCount="1137">
  <si>
    <t>Index Level :</t>
  </si>
  <si>
    <t>Net</t>
  </si>
  <si>
    <t>Currency :</t>
  </si>
  <si>
    <t>USD</t>
  </si>
  <si>
    <t>Date</t>
  </si>
  <si>
    <t xml:space="preserve">WORLD Standard (Large+Mid Cap) </t>
  </si>
  <si>
    <t>Copyright MSCI Inc.</t>
  </si>
  <si>
    <t xml:space="preserve">This information is the property of MSCI Inc. and /or its subsidiaries (collectively, "MSCI"). It is provided for informational </t>
  </si>
  <si>
    <t xml:space="preserve">purposes only, and is not a recommendation to participate in any particular trading strategy. The information may not be used to </t>
  </si>
  <si>
    <t xml:space="preserve">verify or correct data, or any compilation of data or index or in the creation of any indexes. Nor may it be used in the creating, </t>
  </si>
  <si>
    <t xml:space="preserve">writing, offering, trading, marketing or promotion of any financial instruments or products. This information is provided on an </t>
  </si>
  <si>
    <t xml:space="preserve">"as is" basis. Although MSCI shall obtain information from sources which MSCI considers reliable, none of the MSCI, its subsidiaries </t>
  </si>
  <si>
    <t xml:space="preserve">or its or their direct or indirect information provider or any other third party involved in, or related to, compiling, computing or </t>
  </si>
  <si>
    <t xml:space="preserve">creating the information (collectively, the "MSCI Parties") guarantees the accuracy and/or the completeness of any of this information. </t>
  </si>
  <si>
    <t xml:space="preserve">None of the MSCI Parties makes any representation or warranty, express or implied, as to the results to be obtained by any person or </t>
  </si>
  <si>
    <t xml:space="preserve">entity from any use of this information, and the user of this information assumes the entire risk of any use made of this information. </t>
  </si>
  <si>
    <t xml:space="preserve">None of the MSCI Parties makes any express or implied warranties, and the MSCI Parties hereby expressly disclaim all warranties of </t>
  </si>
  <si>
    <t xml:space="preserve">merchantability or fitness for a particular purpose with respect to any of this information. Without limiting any of the foregoing, </t>
  </si>
  <si>
    <t xml:space="preserve">in no event shall any of the MSCI Parties have any liability for any direct, indirect, special, punitive, consequential or any other </t>
  </si>
  <si>
    <t xml:space="preserve">damages (including lost profits) even if notified of the possibility of such damages. MSCI, Barra, RiskMetrics and FEA </t>
  </si>
  <si>
    <t>and all other service marks referred to herein are the exclusive property of MSCI and/or its subsidiaries. All MSCI indexes and data</t>
  </si>
  <si>
    <t xml:space="preserve">are the exclusive property of MSCI and may not be used in any way without the express written permission of MSCI.  </t>
  </si>
  <si>
    <t>LOCATION</t>
  </si>
  <si>
    <t>INDICATOR</t>
  </si>
  <si>
    <t>SUBJECT</t>
  </si>
  <si>
    <t>MEASURE</t>
  </si>
  <si>
    <t>FREQUENCY</t>
  </si>
  <si>
    <t>TIME</t>
  </si>
  <si>
    <t>Value</t>
  </si>
  <si>
    <t>Flag Codes</t>
  </si>
  <si>
    <t>CPI</t>
  </si>
  <si>
    <t>TOT</t>
  </si>
  <si>
    <t>IDX2015</t>
  </si>
  <si>
    <t>M</t>
  </si>
  <si>
    <t>1969-11</t>
  </si>
  <si>
    <t/>
  </si>
  <si>
    <t>1969-12</t>
  </si>
  <si>
    <t>1970-01</t>
  </si>
  <si>
    <t>1970-02</t>
  </si>
  <si>
    <t>1970-03</t>
  </si>
  <si>
    <t>1970-04</t>
  </si>
  <si>
    <t>1970-05</t>
  </si>
  <si>
    <t>1970-06</t>
  </si>
  <si>
    <t>1970-07</t>
  </si>
  <si>
    <t>1970-08</t>
  </si>
  <si>
    <t>1970-09</t>
  </si>
  <si>
    <t>1970-10</t>
  </si>
  <si>
    <t>1970-11</t>
  </si>
  <si>
    <t>1970-12</t>
  </si>
  <si>
    <t>1971-01</t>
  </si>
  <si>
    <t>1971-02</t>
  </si>
  <si>
    <t>1971-03</t>
  </si>
  <si>
    <t>1971-04</t>
  </si>
  <si>
    <t>1971-05</t>
  </si>
  <si>
    <t>1971-06</t>
  </si>
  <si>
    <t>1971-07</t>
  </si>
  <si>
    <t>1971-08</t>
  </si>
  <si>
    <t>1971-09</t>
  </si>
  <si>
    <t>1971-10</t>
  </si>
  <si>
    <t>1971-11</t>
  </si>
  <si>
    <t>1971-12</t>
  </si>
  <si>
    <t>1972-01</t>
  </si>
  <si>
    <t>1972-02</t>
  </si>
  <si>
    <t>1972-03</t>
  </si>
  <si>
    <t>1972-04</t>
  </si>
  <si>
    <t>1972-05</t>
  </si>
  <si>
    <t>1972-06</t>
  </si>
  <si>
    <t>1972-07</t>
  </si>
  <si>
    <t>1972-08</t>
  </si>
  <si>
    <t>1972-09</t>
  </si>
  <si>
    <t>1972-10</t>
  </si>
  <si>
    <t>1972-11</t>
  </si>
  <si>
    <t>1972-12</t>
  </si>
  <si>
    <t>1973-01</t>
  </si>
  <si>
    <t>1973-02</t>
  </si>
  <si>
    <t>1973-03</t>
  </si>
  <si>
    <t>1973-04</t>
  </si>
  <si>
    <t>1973-05</t>
  </si>
  <si>
    <t>1973-06</t>
  </si>
  <si>
    <t>1973-07</t>
  </si>
  <si>
    <t>1973-08</t>
  </si>
  <si>
    <t>1973-09</t>
  </si>
  <si>
    <t>1973-10</t>
  </si>
  <si>
    <t>1973-11</t>
  </si>
  <si>
    <t>1973-12</t>
  </si>
  <si>
    <t>1974-01</t>
  </si>
  <si>
    <t>1974-02</t>
  </si>
  <si>
    <t>1974-03</t>
  </si>
  <si>
    <t>1974-04</t>
  </si>
  <si>
    <t>1974-05</t>
  </si>
  <si>
    <t>1974-06</t>
  </si>
  <si>
    <t>1974-07</t>
  </si>
  <si>
    <t>1974-08</t>
  </si>
  <si>
    <t>1974-09</t>
  </si>
  <si>
    <t>1974-10</t>
  </si>
  <si>
    <t>1974-11</t>
  </si>
  <si>
    <t>1974-12</t>
  </si>
  <si>
    <t>1975-01</t>
  </si>
  <si>
    <t>1975-02</t>
  </si>
  <si>
    <t>1975-03</t>
  </si>
  <si>
    <t>1975-04</t>
  </si>
  <si>
    <t>1975-05</t>
  </si>
  <si>
    <t>1975-06</t>
  </si>
  <si>
    <t>1975-07</t>
  </si>
  <si>
    <t>1975-08</t>
  </si>
  <si>
    <t>1975-09</t>
  </si>
  <si>
    <t>1975-10</t>
  </si>
  <si>
    <t>1975-11</t>
  </si>
  <si>
    <t>1975-12</t>
  </si>
  <si>
    <t>1976-01</t>
  </si>
  <si>
    <t>1976-02</t>
  </si>
  <si>
    <t>1976-03</t>
  </si>
  <si>
    <t>1976-04</t>
  </si>
  <si>
    <t>1976-05</t>
  </si>
  <si>
    <t>1976-06</t>
  </si>
  <si>
    <t>1976-07</t>
  </si>
  <si>
    <t>1976-08</t>
  </si>
  <si>
    <t>1976-09</t>
  </si>
  <si>
    <t>1976-10</t>
  </si>
  <si>
    <t>1976-11</t>
  </si>
  <si>
    <t>1976-12</t>
  </si>
  <si>
    <t>1977-01</t>
  </si>
  <si>
    <t>1977-02</t>
  </si>
  <si>
    <t>1977-03</t>
  </si>
  <si>
    <t>1977-04</t>
  </si>
  <si>
    <t>1977-05</t>
  </si>
  <si>
    <t>1977-06</t>
  </si>
  <si>
    <t>1977-07</t>
  </si>
  <si>
    <t>1977-08</t>
  </si>
  <si>
    <t>1977-09</t>
  </si>
  <si>
    <t>1977-10</t>
  </si>
  <si>
    <t>1977-11</t>
  </si>
  <si>
    <t>1977-12</t>
  </si>
  <si>
    <t>1978-01</t>
  </si>
  <si>
    <t>1978-02</t>
  </si>
  <si>
    <t>1978-03</t>
  </si>
  <si>
    <t>1978-04</t>
  </si>
  <si>
    <t>1978-05</t>
  </si>
  <si>
    <t>1978-06</t>
  </si>
  <si>
    <t>1978-07</t>
  </si>
  <si>
    <t>1978-08</t>
  </si>
  <si>
    <t>1978-09</t>
  </si>
  <si>
    <t>1978-10</t>
  </si>
  <si>
    <t>1978-11</t>
  </si>
  <si>
    <t>1978-12</t>
  </si>
  <si>
    <t>1979-01</t>
  </si>
  <si>
    <t>1979-02</t>
  </si>
  <si>
    <t>1979-03</t>
  </si>
  <si>
    <t>1979-04</t>
  </si>
  <si>
    <t>1979-05</t>
  </si>
  <si>
    <t>1979-06</t>
  </si>
  <si>
    <t>1979-07</t>
  </si>
  <si>
    <t>1979-08</t>
  </si>
  <si>
    <t>1979-09</t>
  </si>
  <si>
    <t>1979-10</t>
  </si>
  <si>
    <t>1979-11</t>
  </si>
  <si>
    <t>1979-12</t>
  </si>
  <si>
    <t>1980-01</t>
  </si>
  <si>
    <t>1980-02</t>
  </si>
  <si>
    <t>1980-03</t>
  </si>
  <si>
    <t>1980-04</t>
  </si>
  <si>
    <t>1980-05</t>
  </si>
  <si>
    <t>1980-06</t>
  </si>
  <si>
    <t>1980-07</t>
  </si>
  <si>
    <t>1980-08</t>
  </si>
  <si>
    <t>1980-09</t>
  </si>
  <si>
    <t>1980-10</t>
  </si>
  <si>
    <t>1980-11</t>
  </si>
  <si>
    <t>1980-12</t>
  </si>
  <si>
    <t>1981-01</t>
  </si>
  <si>
    <t>1981-02</t>
  </si>
  <si>
    <t>1981-03</t>
  </si>
  <si>
    <t>1981-04</t>
  </si>
  <si>
    <t>1981-05</t>
  </si>
  <si>
    <t>1981-06</t>
  </si>
  <si>
    <t>1981-07</t>
  </si>
  <si>
    <t>1981-08</t>
  </si>
  <si>
    <t>1981-09</t>
  </si>
  <si>
    <t>1981-10</t>
  </si>
  <si>
    <t>1981-11</t>
  </si>
  <si>
    <t>1981-12</t>
  </si>
  <si>
    <t>1982-01</t>
  </si>
  <si>
    <t>1982-02</t>
  </si>
  <si>
    <t>1982-03</t>
  </si>
  <si>
    <t>1982-04</t>
  </si>
  <si>
    <t>1982-05</t>
  </si>
  <si>
    <t>1982-06</t>
  </si>
  <si>
    <t>1982-07</t>
  </si>
  <si>
    <t>1982-08</t>
  </si>
  <si>
    <t>1982-09</t>
  </si>
  <si>
    <t>1982-10</t>
  </si>
  <si>
    <t>1982-11</t>
  </si>
  <si>
    <t>1982-12</t>
  </si>
  <si>
    <t>1983-01</t>
  </si>
  <si>
    <t>1983-02</t>
  </si>
  <si>
    <t>1983-03</t>
  </si>
  <si>
    <t>1983-04</t>
  </si>
  <si>
    <t>1983-05</t>
  </si>
  <si>
    <t>1983-06</t>
  </si>
  <si>
    <t>1983-07</t>
  </si>
  <si>
    <t>1983-08</t>
  </si>
  <si>
    <t>1983-09</t>
  </si>
  <si>
    <t>1983-10</t>
  </si>
  <si>
    <t>1983-11</t>
  </si>
  <si>
    <t>1983-12</t>
  </si>
  <si>
    <t>1984-01</t>
  </si>
  <si>
    <t>1984-02</t>
  </si>
  <si>
    <t>1984-03</t>
  </si>
  <si>
    <t>1984-04</t>
  </si>
  <si>
    <t>1984-05</t>
  </si>
  <si>
    <t>1984-06</t>
  </si>
  <si>
    <t>1984-07</t>
  </si>
  <si>
    <t>1984-08</t>
  </si>
  <si>
    <t>1984-09</t>
  </si>
  <si>
    <t>1984-10</t>
  </si>
  <si>
    <t>1984-11</t>
  </si>
  <si>
    <t>1984-12</t>
  </si>
  <si>
    <t>1985-01</t>
  </si>
  <si>
    <t>1985-02</t>
  </si>
  <si>
    <t>1985-03</t>
  </si>
  <si>
    <t>1985-04</t>
  </si>
  <si>
    <t>1985-05</t>
  </si>
  <si>
    <t>1985-06</t>
  </si>
  <si>
    <t>1985-07</t>
  </si>
  <si>
    <t>1985-08</t>
  </si>
  <si>
    <t>1985-09</t>
  </si>
  <si>
    <t>1985-10</t>
  </si>
  <si>
    <t>1985-11</t>
  </si>
  <si>
    <t>1985-12</t>
  </si>
  <si>
    <t>1986-01</t>
  </si>
  <si>
    <t>1986-02</t>
  </si>
  <si>
    <t>1986-03</t>
  </si>
  <si>
    <t>1986-04</t>
  </si>
  <si>
    <t>1986-05</t>
  </si>
  <si>
    <t>1986-06</t>
  </si>
  <si>
    <t>1986-07</t>
  </si>
  <si>
    <t>1986-08</t>
  </si>
  <si>
    <t>1986-09</t>
  </si>
  <si>
    <t>1986-10</t>
  </si>
  <si>
    <t>1986-11</t>
  </si>
  <si>
    <t>1986-12</t>
  </si>
  <si>
    <t>1987-01</t>
  </si>
  <si>
    <t>1987-02</t>
  </si>
  <si>
    <t>1987-03</t>
  </si>
  <si>
    <t>1987-04</t>
  </si>
  <si>
    <t>1987-05</t>
  </si>
  <si>
    <t>1987-06</t>
  </si>
  <si>
    <t>1987-07</t>
  </si>
  <si>
    <t>1987-08</t>
  </si>
  <si>
    <t>1987-09</t>
  </si>
  <si>
    <t>1987-10</t>
  </si>
  <si>
    <t>1987-11</t>
  </si>
  <si>
    <t>1987-12</t>
  </si>
  <si>
    <t>1988-01</t>
  </si>
  <si>
    <t>1988-02</t>
  </si>
  <si>
    <t>1988-03</t>
  </si>
  <si>
    <t>1988-04</t>
  </si>
  <si>
    <t>1988-05</t>
  </si>
  <si>
    <t>1988-06</t>
  </si>
  <si>
    <t>1988-07</t>
  </si>
  <si>
    <t>1988-08</t>
  </si>
  <si>
    <t>1988-09</t>
  </si>
  <si>
    <t>1988-10</t>
  </si>
  <si>
    <t>1988-11</t>
  </si>
  <si>
    <t>1988-12</t>
  </si>
  <si>
    <t>1989-01</t>
  </si>
  <si>
    <t>1989-02</t>
  </si>
  <si>
    <t>1989-03</t>
  </si>
  <si>
    <t>1989-04</t>
  </si>
  <si>
    <t>1989-05</t>
  </si>
  <si>
    <t>1989-06</t>
  </si>
  <si>
    <t>1989-07</t>
  </si>
  <si>
    <t>1989-08</t>
  </si>
  <si>
    <t>1989-09</t>
  </si>
  <si>
    <t>1989-10</t>
  </si>
  <si>
    <t>1989-11</t>
  </si>
  <si>
    <t>1989-12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</si>
  <si>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</si>
  <si>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</si>
  <si>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</si>
  <si>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</si>
  <si>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</si>
  <si>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</si>
  <si>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</si>
  <si>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</si>
  <si>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</si>
  <si>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</si>
  <si>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</si>
  <si>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</si>
  <si>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</si>
  <si>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</si>
  <si>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</si>
  <si>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</si>
  <si>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</si>
  <si>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</si>
  <si>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</si>
  <si>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</si>
  <si>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</si>
  <si>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</si>
  <si>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</si>
  <si>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</si>
  <si>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</si>
  <si>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</si>
  <si>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</si>
  <si>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</si>
  <si>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</si>
  <si>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</si>
  <si>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</si>
  <si>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</si>
  <si>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</si>
  <si>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</si>
  <si>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</si>
  <si>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</si>
  <si>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</si>
  <si>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</si>
  <si>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</si>
  <si>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</si>
  <si>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</si>
  <si>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</si>
  <si>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</si>
  <si>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</si>
  <si>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</si>
  <si>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</si>
  <si>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</si>
  <si>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</si>
  <si>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</si>
  <si>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</si>
  <si>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</si>
  <si>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</si>
  <si>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</si>
  <si>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</si>
  <si>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</si>
  <si>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</si>
  <si>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</si>
  <si>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</si>
  <si>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</si>
  <si>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</si>
  <si>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</si>
  <si>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</si>
  <si>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</si>
  <si>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</si>
  <si>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</si>
  <si>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</si>
  <si>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</si>
  <si>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</si>
  <si>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</si>
  <si>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</si>
  <si>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</si>
  <si>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</si>
  <si>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</si>
  <si>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</si>
  <si>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</si>
  <si>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</si>
  <si>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</si>
  <si>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</si>
  <si>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</si>
  <si>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</si>
  <si>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</si>
  <si>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</si>
  <si>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</si>
  <si>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</si>
  <si>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</si>
  <si>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</si>
  <si>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</si>
  <si>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</si>
  <si>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</si>
  <si>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</si>
  <si>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</si>
  <si>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</si>
  <si>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</si>
  <si>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</si>
  <si>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</si>
  <si>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</si>
  <si>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</si>
  <si>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</si>
  <si>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</si>
  <si>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</si>
  <si>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</si>
  <si>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</si>
  <si>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</si>
  <si>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</si>
  <si>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</si>
  <si>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</si>
  <si>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</si>
  <si>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</si>
  <si>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</si>
  <si>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</si>
  <si>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</si>
  <si>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</si>
  <si>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</si>
  <si>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</si>
  <si>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</si>
  <si>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</si>
  <si>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</si>
  <si>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</si>
  <si>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</si>
  <si>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</si>
  <si>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</si>
  <si>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</si>
  <si>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</si>
  <si>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</si>
  <si>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</si>
  <si>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</si>
  <si>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</si>
  <si>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</si>
  <si>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</si>
  <si>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</si>
  <si>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</si>
  <si>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</si>
  <si>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</si>
  <si>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</si>
  <si>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</si>
  <si>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</si>
  <si>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</si>
  <si>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</si>
  <si>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</si>
  <si>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</si>
  <si>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</si>
  <si>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</si>
  <si>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</si>
  <si>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</si>
  <si>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</si>
  <si>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</si>
  <si>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</si>
  <si>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</si>
  <si>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</si>
  <si>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</si>
  <si>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</si>
  <si>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</si>
  <si>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</si>
  <si>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</si>
  <si>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</si>
  <si>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</si>
  <si>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</si>
  <si>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</si>
  <si>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</si>
  <si>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</si>
  <si>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</si>
  <si>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</si>
  <si>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</si>
  <si>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</si>
  <si>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</si>
  <si>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</si>
  <si>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</si>
  <si>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</si>
  <si>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</si>
  <si>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</si>
  <si>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</si>
  <si>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</si>
  <si>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</si>
  <si>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</si>
  <si>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</si>
  <si>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</si>
  <si>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</si>
  <si>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</si>
  <si>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</si>
  <si>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</si>
  <si>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</si>
  <si>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</si>
  <si>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</si>
  <si>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</si>
  <si>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</si>
  <si>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</si>
  <si>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</si>
  <si>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</si>
  <si>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</si>
  <si>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</si>
  <si>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</si>
  <si>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</si>
  <si>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</si>
  <si>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</si>
  <si>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</si>
  <si>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</si>
  <si>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</si>
  <si>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</si>
  <si>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</si>
  <si>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</si>
  <si>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</si>
  <si>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</si>
  <si>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</si>
  <si>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</si>
  <si>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</si>
  <si>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</si>
  <si>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</si>
  <si>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</si>
  <si>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</si>
  <si>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</si>
  <si>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</si>
  <si>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</si>
  <si>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</si>
  <si>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</si>
  <si>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</si>
  <si>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</si>
  <si>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</si>
  <si>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</si>
  <si>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</si>
  <si>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</si>
  <si>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</si>
  <si>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</si>
  <si>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</si>
  <si>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</si>
  <si>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</si>
  <si>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</si>
  <si>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</si>
  <si>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</si>
  <si>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</si>
  <si>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</si>
  <si>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</si>
  <si>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</si>
  <si>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</si>
  <si>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</si>
  <si>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</si>
  <si>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</si>
  <si>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</si>
  <si>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</si>
  <si>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</si>
  <si>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</si>
  <si>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</si>
  <si>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</si>
  <si>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</si>
  <si>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</si>
  <si>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</si>
  <si>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</si>
  <si>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</si>
  <si>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</si>
  <si>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</si>
  <si>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</si>
  <si>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</si>
  <si>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</si>
  <si>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</si>
  <si>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</si>
  <si>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</si>
  <si>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</si>
  <si>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</si>
  <si>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</si>
  <si>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</si>
  <si>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</si>
  <si>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</si>
  <si>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</si>
  <si>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</si>
  <si>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</si>
  <si>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</si>
  <si>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</si>
  <si>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</si>
  <si>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</si>
  <si>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</si>
  <si>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</si>
  <si>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</si>
  <si>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</si>
  <si>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</si>
  <si>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</si>
  <si>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</si>
  <si>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</si>
  <si>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</si>
  <si>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</si>
  <si>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</si>
  <si>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</si>
  <si>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</si>
  <si>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</si>
  <si>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</si>
  <si>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</si>
  <si>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</si>
  <si>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</si>
  <si>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</si>
  <si>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</si>
  <si>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</si>
  <si>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</si>
  <si>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</si>
  <si>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</si>
  <si>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</si>
  <si>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</si>
  <si>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</si>
  <si>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</si>
  <si>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</si>
  <si>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</si>
  <si>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</si>
  <si>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</si>
  <si>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</si>
  <si>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</si>
  <si>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</si>
  <si>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</si>
  <si>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</si>
  <si>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</si>
  <si>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</si>
  <si>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</si>
  <si>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</si>
  <si>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</si>
  <si>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</si>
  <si>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</si>
  <si>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</si>
  <si>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</si>
  <si>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</si>
  <si>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</si>
  <si>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</si>
  <si>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</si>
  <si>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</si>
  <si>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</si>
  <si>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</si>
  <si>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</si>
  <si>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</si>
  <si>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</si>
  <si>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</si>
  <si>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</si>
  <si>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</si>
  <si>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</si>
  <si>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</si>
  <si>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</si>
  <si>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</si>
  <si>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</si>
  <si>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</si>
  <si>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</si>
  <si>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</si>
  <si>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</si>
  <si>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</si>
  <si>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</si>
  <si>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</si>
  <si>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</si>
  <si>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</si>
  <si>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</si>
  <si>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</si>
  <si>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</si>
  <si>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</si>
  <si>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</si>
  <si>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</si>
  <si>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</si>
  <si>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</si>
  <si>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</si>
  <si>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</si>
  <si>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</si>
  <si>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</si>
  <si>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</si>
  <si>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</si>
  <si>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</si>
  <si>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</si>
  <si>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</si>
  <si>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</si>
  <si>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</si>
  <si>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</si>
  <si>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</si>
  <si>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</si>
  <si>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PRT</t>
  </si>
  <si>
    <t>MSCI World Nominal</t>
  </si>
  <si>
    <t>Nominal Growth Rate</t>
  </si>
  <si>
    <t>31/12/1984</t>
  </si>
  <si>
    <t>31/01/1985</t>
  </si>
  <si>
    <t>28/02/1985</t>
  </si>
  <si>
    <t>31/03/1985</t>
  </si>
  <si>
    <t>30/04/1985</t>
  </si>
  <si>
    <t>31/05/1985</t>
  </si>
  <si>
    <t>30/06/1985</t>
  </si>
  <si>
    <t>31/07/1985</t>
  </si>
  <si>
    <t>31/08/1985</t>
  </si>
  <si>
    <t>30/09/1985</t>
  </si>
  <si>
    <t>31/10/1985</t>
  </si>
  <si>
    <t>30/11/1985</t>
  </si>
  <si>
    <t>31/12/1985</t>
  </si>
  <si>
    <t>31/01/1986</t>
  </si>
  <si>
    <t>28/02/1986</t>
  </si>
  <si>
    <t>31/03/1986</t>
  </si>
  <si>
    <t>30/04/1986</t>
  </si>
  <si>
    <t>31/05/1986</t>
  </si>
  <si>
    <t>30/06/1986</t>
  </si>
  <si>
    <t>31/07/1986</t>
  </si>
  <si>
    <t>31/08/1986</t>
  </si>
  <si>
    <t>30/09/1986</t>
  </si>
  <si>
    <t>31/10/1986</t>
  </si>
  <si>
    <t>30/11/1986</t>
  </si>
  <si>
    <t>31/12/1986</t>
  </si>
  <si>
    <t>31/01/1987</t>
  </si>
  <si>
    <t>28/02/1987</t>
  </si>
  <si>
    <t>31/03/1987</t>
  </si>
  <si>
    <t>30/04/1987</t>
  </si>
  <si>
    <t>31/05/1987</t>
  </si>
  <si>
    <t>30/06/1987</t>
  </si>
  <si>
    <t>31/07/1987</t>
  </si>
  <si>
    <t>31/08/1987</t>
  </si>
  <si>
    <t>30/09/1987</t>
  </si>
  <si>
    <t>31/10/1987</t>
  </si>
  <si>
    <t>30/11/1987</t>
  </si>
  <si>
    <t>31/12/1987</t>
  </si>
  <si>
    <t>31/01/1988</t>
  </si>
  <si>
    <t>29/02/1988</t>
  </si>
  <si>
    <t>31/03/1988</t>
  </si>
  <si>
    <t>30/04/1988</t>
  </si>
  <si>
    <t>31/05/1988</t>
  </si>
  <si>
    <t>30/06/1988</t>
  </si>
  <si>
    <t>31/07/1988</t>
  </si>
  <si>
    <t>31/08/1988</t>
  </si>
  <si>
    <t>30/09/1988</t>
  </si>
  <si>
    <t>31/10/1988</t>
  </si>
  <si>
    <t>30/11/1988</t>
  </si>
  <si>
    <t>31/12/1988</t>
  </si>
  <si>
    <t>31/01/1989</t>
  </si>
  <si>
    <t>28/02/1989</t>
  </si>
  <si>
    <t>31/03/1989</t>
  </si>
  <si>
    <t>30/04/1989</t>
  </si>
  <si>
    <t>31/05/1989</t>
  </si>
  <si>
    <t>30/06/1989</t>
  </si>
  <si>
    <t>31/07/1989</t>
  </si>
  <si>
    <t>31/08/1989</t>
  </si>
  <si>
    <t>30/09/1989</t>
  </si>
  <si>
    <t>31/10/1989</t>
  </si>
  <si>
    <t>30/11/1989</t>
  </si>
  <si>
    <t>31/12/1989</t>
  </si>
  <si>
    <t>31/01/1990</t>
  </si>
  <si>
    <t>28/02/1990</t>
  </si>
  <si>
    <t>31/03/1990</t>
  </si>
  <si>
    <t>30/04/1990</t>
  </si>
  <si>
    <t>31/05/1990</t>
  </si>
  <si>
    <t>30/06/1990</t>
  </si>
  <si>
    <t>31/07/1990</t>
  </si>
  <si>
    <t>31/08/1990</t>
  </si>
  <si>
    <t>30/09/1990</t>
  </si>
  <si>
    <t>31/10/1990</t>
  </si>
  <si>
    <t>30/11/1990</t>
  </si>
  <si>
    <t>31/12/1990</t>
  </si>
  <si>
    <t>31/01/1991</t>
  </si>
  <si>
    <t>28/02/1991</t>
  </si>
  <si>
    <t>31/03/1991</t>
  </si>
  <si>
    <t>30/04/1991</t>
  </si>
  <si>
    <t>31/05/1991</t>
  </si>
  <si>
    <t>30/06/1991</t>
  </si>
  <si>
    <t>31/07/1991</t>
  </si>
  <si>
    <t>31/08/1991</t>
  </si>
  <si>
    <t>30/09/1991</t>
  </si>
  <si>
    <t>31/10/1991</t>
  </si>
  <si>
    <t>30/11/1991</t>
  </si>
  <si>
    <t>31/12/1991</t>
  </si>
  <si>
    <t>31/01/1992</t>
  </si>
  <si>
    <t>29/02/1992</t>
  </si>
  <si>
    <t>31/03/1992</t>
  </si>
  <si>
    <t>30/04/1992</t>
  </si>
  <si>
    <t>31/05/1992</t>
  </si>
  <si>
    <t>30/06/1992</t>
  </si>
  <si>
    <t>31/07/1992</t>
  </si>
  <si>
    <t>31/08/1992</t>
  </si>
  <si>
    <t>30/09/1992</t>
  </si>
  <si>
    <t>31/10/1992</t>
  </si>
  <si>
    <t>30/11/1992</t>
  </si>
  <si>
    <t>31/12/1992</t>
  </si>
  <si>
    <t>31/01/1993</t>
  </si>
  <si>
    <t>28/02/1993</t>
  </si>
  <si>
    <t>31/03/1993</t>
  </si>
  <si>
    <t>30/04/1993</t>
  </si>
  <si>
    <t>31/05/1993</t>
  </si>
  <si>
    <t>30/06/1993</t>
  </si>
  <si>
    <t>31/07/1993</t>
  </si>
  <si>
    <t>31/08/1993</t>
  </si>
  <si>
    <t>30/09/1993</t>
  </si>
  <si>
    <t>31/10/1993</t>
  </si>
  <si>
    <t>30/11/1993</t>
  </si>
  <si>
    <t>31/12/1993</t>
  </si>
  <si>
    <t>31/01/1994</t>
  </si>
  <si>
    <t>28/02/1994</t>
  </si>
  <si>
    <t>31/03/1994</t>
  </si>
  <si>
    <t>30/04/1994</t>
  </si>
  <si>
    <t>31/05/1994</t>
  </si>
  <si>
    <t>30/06/1994</t>
  </si>
  <si>
    <t>31/07/1994</t>
  </si>
  <si>
    <t>31/08/1994</t>
  </si>
  <si>
    <t>30/09/1994</t>
  </si>
  <si>
    <t>31/10/1994</t>
  </si>
  <si>
    <t>30/11/1994</t>
  </si>
  <si>
    <t>31/12/1994</t>
  </si>
  <si>
    <t>31/01/1995</t>
  </si>
  <si>
    <t>28/02/1995</t>
  </si>
  <si>
    <t>31/03/1995</t>
  </si>
  <si>
    <t>30/04/1995</t>
  </si>
  <si>
    <t>31/05/1995</t>
  </si>
  <si>
    <t>30/06/1995</t>
  </si>
  <si>
    <t>31/07/1995</t>
  </si>
  <si>
    <t>31/08/1995</t>
  </si>
  <si>
    <t>30/09/1995</t>
  </si>
  <si>
    <t>31/10/1995</t>
  </si>
  <si>
    <t>30/11/1995</t>
  </si>
  <si>
    <t>31/12/1995</t>
  </si>
  <si>
    <t>31/01/1996</t>
  </si>
  <si>
    <t>29/02/1996</t>
  </si>
  <si>
    <t>31/03/1996</t>
  </si>
  <si>
    <t>30/04/1996</t>
  </si>
  <si>
    <t>31/05/1996</t>
  </si>
  <si>
    <t>30/06/1996</t>
  </si>
  <si>
    <t>31/07/1996</t>
  </si>
  <si>
    <t>31/08/1996</t>
  </si>
  <si>
    <t>30/09/1996</t>
  </si>
  <si>
    <t>31/10/1996</t>
  </si>
  <si>
    <t>30/11/1996</t>
  </si>
  <si>
    <t>31/12/1996</t>
  </si>
  <si>
    <t>31/01/1997</t>
  </si>
  <si>
    <t>28/02/1997</t>
  </si>
  <si>
    <t>31/03/1997</t>
  </si>
  <si>
    <t>30/04/1997</t>
  </si>
  <si>
    <t>31/05/1997</t>
  </si>
  <si>
    <t>30/06/1997</t>
  </si>
  <si>
    <t>31/07/1997</t>
  </si>
  <si>
    <t>31/08/1997</t>
  </si>
  <si>
    <t>30/09/1997</t>
  </si>
  <si>
    <t>31/10/1997</t>
  </si>
  <si>
    <t>30/11/1997</t>
  </si>
  <si>
    <t>31/12/1997</t>
  </si>
  <si>
    <t>31/01/1998</t>
  </si>
  <si>
    <t>28/02/1998</t>
  </si>
  <si>
    <t>31/03/1998</t>
  </si>
  <si>
    <t>30/04/1998</t>
  </si>
  <si>
    <t>31/05/1998</t>
  </si>
  <si>
    <t>30/06/1998</t>
  </si>
  <si>
    <t>31/07/1998</t>
  </si>
  <si>
    <t>31/08/1998</t>
  </si>
  <si>
    <t>30/09/1998</t>
  </si>
  <si>
    <t>31/10/1998</t>
  </si>
  <si>
    <t>30/11/1998</t>
  </si>
  <si>
    <t>31/12/1998</t>
  </si>
  <si>
    <t>31/01/1999</t>
  </si>
  <si>
    <t>28/02/1999</t>
  </si>
  <si>
    <t>31/03/1999</t>
  </si>
  <si>
    <t>30/04/1999</t>
  </si>
  <si>
    <t>31/05/1999</t>
  </si>
  <si>
    <t>30/06/1999</t>
  </si>
  <si>
    <t>31/07/1999</t>
  </si>
  <si>
    <t>31/08/1999</t>
  </si>
  <si>
    <t>30/09/1999</t>
  </si>
  <si>
    <t>31/10/1999</t>
  </si>
  <si>
    <t>30/11/1999</t>
  </si>
  <si>
    <t>31/12/1999</t>
  </si>
  <si>
    <t>31/01/2000</t>
  </si>
  <si>
    <t>29/02/2000</t>
  </si>
  <si>
    <t>31/03/2000</t>
  </si>
  <si>
    <t>30/04/2000</t>
  </si>
  <si>
    <t>31/05/2000</t>
  </si>
  <si>
    <t>30/06/2000</t>
  </si>
  <si>
    <t>31/07/2000</t>
  </si>
  <si>
    <t>31/08/2000</t>
  </si>
  <si>
    <t>30/09/2000</t>
  </si>
  <si>
    <t>31/10/2000</t>
  </si>
  <si>
    <t>30/11/2000</t>
  </si>
  <si>
    <t>31/12/2000</t>
  </si>
  <si>
    <t>31/01/2001</t>
  </si>
  <si>
    <t>28/02/2001</t>
  </si>
  <si>
    <t>31/03/2001</t>
  </si>
  <si>
    <t>30/04/2001</t>
  </si>
  <si>
    <t>31/05/2001</t>
  </si>
  <si>
    <t>30/06/2001</t>
  </si>
  <si>
    <t>31/07/2001</t>
  </si>
  <si>
    <t>31/08/2001</t>
  </si>
  <si>
    <t>30/09/2001</t>
  </si>
  <si>
    <t>31/10/2001</t>
  </si>
  <si>
    <t>30/11/2001</t>
  </si>
  <si>
    <t>31/12/2001</t>
  </si>
  <si>
    <t>31/01/2002</t>
  </si>
  <si>
    <t>28/02/2002</t>
  </si>
  <si>
    <t>31/03/2002</t>
  </si>
  <si>
    <t>30/04/2002</t>
  </si>
  <si>
    <t>31/05/2002</t>
  </si>
  <si>
    <t>30/06/2002</t>
  </si>
  <si>
    <t>31/07/2002</t>
  </si>
  <si>
    <t>31/08/2002</t>
  </si>
  <si>
    <t>30/09/2002</t>
  </si>
  <si>
    <t>31/10/2002</t>
  </si>
  <si>
    <t>30/11/2002</t>
  </si>
  <si>
    <t>31/12/2002</t>
  </si>
  <si>
    <t>31/01/2003</t>
  </si>
  <si>
    <t>28/02/2003</t>
  </si>
  <si>
    <t>31/03/2003</t>
  </si>
  <si>
    <t>30/04/2003</t>
  </si>
  <si>
    <t>31/05/2003</t>
  </si>
  <si>
    <t>30/06/2003</t>
  </si>
  <si>
    <t>31/07/2003</t>
  </si>
  <si>
    <t>31/08/2003</t>
  </si>
  <si>
    <t>30/09/2003</t>
  </si>
  <si>
    <t>31/10/2003</t>
  </si>
  <si>
    <t>30/11/2003</t>
  </si>
  <si>
    <t>31/12/2003</t>
  </si>
  <si>
    <t>31/01/2004</t>
  </si>
  <si>
    <t>29/02/2004</t>
  </si>
  <si>
    <t>31/03/2004</t>
  </si>
  <si>
    <t>30/04/2004</t>
  </si>
  <si>
    <t>31/05/2004</t>
  </si>
  <si>
    <t>30/06/2004</t>
  </si>
  <si>
    <t>31/07/2004</t>
  </si>
  <si>
    <t>31/08/2004</t>
  </si>
  <si>
    <t>30/09/2004</t>
  </si>
  <si>
    <t>31/10/2004</t>
  </si>
  <si>
    <t>30/11/2004</t>
  </si>
  <si>
    <t>31/12/2004</t>
  </si>
  <si>
    <t>31/01/2005</t>
  </si>
  <si>
    <t>28/02/2005</t>
  </si>
  <si>
    <t>31/03/2005</t>
  </si>
  <si>
    <t>30/04/2005</t>
  </si>
  <si>
    <t>31/05/2005</t>
  </si>
  <si>
    <t>30/06/2005</t>
  </si>
  <si>
    <t>31/07/2005</t>
  </si>
  <si>
    <t>31/08/2005</t>
  </si>
  <si>
    <t>30/09/2005</t>
  </si>
  <si>
    <t>31/10/2005</t>
  </si>
  <si>
    <t>30/11/2005</t>
  </si>
  <si>
    <t>31/12/2005</t>
  </si>
  <si>
    <t>31/01/2006</t>
  </si>
  <si>
    <t>28/02/2006</t>
  </si>
  <si>
    <t>31/03/2006</t>
  </si>
  <si>
    <t>30/04/2006</t>
  </si>
  <si>
    <t>31/05/2006</t>
  </si>
  <si>
    <t>30/06/2006</t>
  </si>
  <si>
    <t>31/07/2006</t>
  </si>
  <si>
    <t>31/08/2006</t>
  </si>
  <si>
    <t>30/09/2006</t>
  </si>
  <si>
    <t>31/10/2006</t>
  </si>
  <si>
    <t>30/11/2006</t>
  </si>
  <si>
    <t>31/12/2006</t>
  </si>
  <si>
    <t>31/01/2007</t>
  </si>
  <si>
    <t>28/02/2007</t>
  </si>
  <si>
    <t>31/03/2007</t>
  </si>
  <si>
    <t>30/04/2007</t>
  </si>
  <si>
    <t>31/05/2007</t>
  </si>
  <si>
    <t>30/06/2007</t>
  </si>
  <si>
    <t>31/07/2007</t>
  </si>
  <si>
    <t>31/08/2007</t>
  </si>
  <si>
    <t>30/09/2007</t>
  </si>
  <si>
    <t>31/10/2007</t>
  </si>
  <si>
    <t>30/11/2007</t>
  </si>
  <si>
    <t>31/12/2007</t>
  </si>
  <si>
    <t>31/01/2008</t>
  </si>
  <si>
    <t>29/02/2008</t>
  </si>
  <si>
    <t>31/03/2008</t>
  </si>
  <si>
    <t>30/04/2008</t>
  </si>
  <si>
    <t>31/05/2008</t>
  </si>
  <si>
    <t>30/06/2008</t>
  </si>
  <si>
    <t>31/07/2008</t>
  </si>
  <si>
    <t>31/08/2008</t>
  </si>
  <si>
    <t>30/09/2008</t>
  </si>
  <si>
    <t>31/10/2008</t>
  </si>
  <si>
    <t>30/11/2008</t>
  </si>
  <si>
    <t>31/12/2008</t>
  </si>
  <si>
    <t>31/01/2009</t>
  </si>
  <si>
    <t>28/02/2009</t>
  </si>
  <si>
    <t>31/03/2009</t>
  </si>
  <si>
    <t>30/04/2009</t>
  </si>
  <si>
    <t>31/05/2009</t>
  </si>
  <si>
    <t>30/06/2009</t>
  </si>
  <si>
    <t>31/07/2009</t>
  </si>
  <si>
    <t>31/08/2009</t>
  </si>
  <si>
    <t>30/09/2009</t>
  </si>
  <si>
    <t>31/10/2009</t>
  </si>
  <si>
    <t>30/11/2009</t>
  </si>
  <si>
    <t>31/12/2009</t>
  </si>
  <si>
    <t>31/01/2010</t>
  </si>
  <si>
    <t>28/02/2010</t>
  </si>
  <si>
    <t>31/03/2010</t>
  </si>
  <si>
    <t>30/04/2010</t>
  </si>
  <si>
    <t>31/05/2010</t>
  </si>
  <si>
    <t>30/06/2010</t>
  </si>
  <si>
    <t>31/07/2010</t>
  </si>
  <si>
    <t>31/08/2010</t>
  </si>
  <si>
    <t>30/09/2010</t>
  </si>
  <si>
    <t>31/10/2010</t>
  </si>
  <si>
    <t>30/11/2010</t>
  </si>
  <si>
    <t>31/12/2010</t>
  </si>
  <si>
    <t>31/01/2011</t>
  </si>
  <si>
    <t>28/02/2011</t>
  </si>
  <si>
    <t>31/03/2011</t>
  </si>
  <si>
    <t>30/04/2011</t>
  </si>
  <si>
    <t>31/05/2011</t>
  </si>
  <si>
    <t>30/06/2011</t>
  </si>
  <si>
    <t>31/07/2011</t>
  </si>
  <si>
    <t>31/08/2011</t>
  </si>
  <si>
    <t>30/09/2011</t>
  </si>
  <si>
    <t>31/10/2011</t>
  </si>
  <si>
    <t>30/11/2011</t>
  </si>
  <si>
    <t>31/12/2011</t>
  </si>
  <si>
    <t>31/01/2012</t>
  </si>
  <si>
    <t>29/02/2012</t>
  </si>
  <si>
    <t>31/03/2012</t>
  </si>
  <si>
    <t>30/04/2012</t>
  </si>
  <si>
    <t>31/05/2012</t>
  </si>
  <si>
    <t>30/06/2012</t>
  </si>
  <si>
    <t>31/07/2012</t>
  </si>
  <si>
    <t>31/08/2012</t>
  </si>
  <si>
    <t>30/09/2012</t>
  </si>
  <si>
    <t>31/10/2012</t>
  </si>
  <si>
    <t>30/11/2012</t>
  </si>
  <si>
    <t>31/12/2012</t>
  </si>
  <si>
    <t>31/01/2013</t>
  </si>
  <si>
    <t>28/02/2013</t>
  </si>
  <si>
    <t>31/03/2013</t>
  </si>
  <si>
    <t>30/04/2013</t>
  </si>
  <si>
    <t>31/05/2013</t>
  </si>
  <si>
    <t>30/06/2013</t>
  </si>
  <si>
    <t>31/07/2013</t>
  </si>
  <si>
    <t>31/08/2013</t>
  </si>
  <si>
    <t>30/09/2013</t>
  </si>
  <si>
    <t>31/10/2013</t>
  </si>
  <si>
    <t>30/11/2013</t>
  </si>
  <si>
    <t>31/12/2013</t>
  </si>
  <si>
    <t>31/01/2014</t>
  </si>
  <si>
    <t>28/02/2014</t>
  </si>
  <si>
    <t>31/03/2014</t>
  </si>
  <si>
    <t>30/04/2014</t>
  </si>
  <si>
    <t>31/05/2014</t>
  </si>
  <si>
    <t>30/06/2014</t>
  </si>
  <si>
    <t>31/07/2014</t>
  </si>
  <si>
    <t>31/08/2014</t>
  </si>
  <si>
    <t>30/09/2014</t>
  </si>
  <si>
    <t>31/10/2014</t>
  </si>
  <si>
    <t>30/11/2014</t>
  </si>
  <si>
    <t>31/12/2014</t>
  </si>
  <si>
    <t>31/01/2015</t>
  </si>
  <si>
    <t>28/02/2015</t>
  </si>
  <si>
    <t>31/03/2015</t>
  </si>
  <si>
    <t>30/04/2015</t>
  </si>
  <si>
    <t>31/05/2015</t>
  </si>
  <si>
    <t>30/06/2015</t>
  </si>
  <si>
    <t>31/07/2015</t>
  </si>
  <si>
    <t>31/08/2015</t>
  </si>
  <si>
    <t>30/09/2015</t>
  </si>
  <si>
    <t>31/10/2015</t>
  </si>
  <si>
    <t>30/11/2015</t>
  </si>
  <si>
    <t>31/12/2015</t>
  </si>
  <si>
    <t>31/01/2016</t>
  </si>
  <si>
    <t>29/02/2016</t>
  </si>
  <si>
    <t>31/03/2016</t>
  </si>
  <si>
    <t>30/04/2016</t>
  </si>
  <si>
    <t>31/05/2016</t>
  </si>
  <si>
    <t>30/06/2016</t>
  </si>
  <si>
    <t>31/07/2016</t>
  </si>
  <si>
    <t>31/08/2016</t>
  </si>
  <si>
    <t>30/09/2016</t>
  </si>
  <si>
    <t>31/10/2016</t>
  </si>
  <si>
    <t>30/11/2016</t>
  </si>
  <si>
    <t>31/12/2016</t>
  </si>
  <si>
    <t>31/01/2017</t>
  </si>
  <si>
    <t>28/02/2017</t>
  </si>
  <si>
    <t>31/03/2017</t>
  </si>
  <si>
    <t>30/04/2017</t>
  </si>
  <si>
    <t>31/05/2017</t>
  </si>
  <si>
    <t>30/06/2017</t>
  </si>
  <si>
    <t>31/07/2017</t>
  </si>
  <si>
    <t>31/08/2017</t>
  </si>
  <si>
    <t>30/09/2017</t>
  </si>
  <si>
    <t>31/10/2017</t>
  </si>
  <si>
    <t>30/11/2017</t>
  </si>
  <si>
    <t>31/12/2017</t>
  </si>
  <si>
    <t>31/01/2018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</si>
  <si>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</si>
  <si>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</si>
  <si>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</si>
  <si>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</si>
  <si>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</si>
  <si>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</si>
  <si>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</si>
  <si>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</si>
  <si>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</si>
  <si>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30/11/2018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</si>
  <si>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</si>
  <si>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</si>
  <si>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</si>
  <si>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</si>
  <si>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</si>
  <si>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</si>
  <si>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</si>
  <si>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31/07/2019</t>
  </si>
  <si>
    <t>31/08/2019</t>
  </si>
  <si>
    <t>30/09/2019</t>
  </si>
  <si>
    <t>31/10/2019</t>
  </si>
  <si>
    <t>30/11/2019</t>
  </si>
  <si>
    <t>31/12/2019</t>
  </si>
  <si>
    <t>31/01/2020</t>
  </si>
  <si>
    <t>29/02/2020</t>
  </si>
  <si>
    <t>31/03/2020</t>
  </si>
  <si>
    <t>CPI Index Value</t>
  </si>
  <si>
    <t>Growth Rate</t>
  </si>
  <si>
    <t>Real Growth Rate</t>
  </si>
  <si>
    <t>MSCI World Real</t>
  </si>
  <si>
    <t>A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</si>
  <si>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</si>
  <si>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</si>
  <si>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</si>
  <si>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</si>
  <si>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</si>
  <si>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</si>
  <si>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</si>
  <si>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</si>
  <si>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</si>
  <si>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</si>
  <si>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</si>
  <si>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</si>
  <si>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</si>
  <si>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</si>
  <si>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</si>
  <si>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</si>
  <si>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</si>
  <si>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</si>
  <si>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</si>
  <si>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</si>
  <si>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</si>
  <si>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</si>
  <si>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</si>
  <si>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</si>
  <si>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</si>
  <si>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</si>
  <si>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</si>
  <si>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</si>
  <si>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</si>
  <si>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</si>
  <si>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</si>
  <si>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</si>
  <si>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</si>
  <si>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</si>
  <si>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</si>
  <si>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</si>
  <si>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</si>
  <si>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</si>
  <si>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</si>
  <si>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</si>
  <si>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</si>
  <si>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</si>
  <si>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</si>
  <si>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</si>
  <si>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</si>
  <si>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</si>
  <si>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</si>
  <si>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</si>
  <si>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</si>
  <si>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</si>
  <si>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</si>
  <si>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</si>
  <si>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</si>
  <si>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</si>
  <si>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</si>
  <si>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</si>
  <si>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</si>
  <si>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</si>
  <si>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</si>
  <si>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</si>
  <si>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</si>
  <si>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100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</si>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</sst>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d\,\ yyyy"/>
    <numFmt numFmtId="165" formatCode="#,##0.000"/>
    <numFmt numFmtId="171" formatCode="#,##0.0000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</fills>
  <borders count="5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2">
    <xf numFmtId="0" fontId="0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0" fontId="0" fillId="0" borderId="0" xfId="1" applyNumberFormat="1" applyFont="1" applyFill="1" applyBorder="1" applyAlignment="1"/>
    <xf numFmtId="10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4" fillId="2" borderId="1" xfId="0" applyFont="1" applyFill="1" applyBorder="1"/>
    <xf numFmtId="0" fontId="4" fillId="0" borderId="1" xfId="0" applyFont="1" applyBorder="1"/>
    <xf numFmtId="0" fontId="5" fillId="3" borderId="2" xfId="0" applyNumberFormat="1" applyFont="1" applyFill="1" applyBorder="1" applyAlignment="1"/>
    <xf numFmtId="0" fontId="5" fillId="3" borderId="3" xfId="0" applyNumberFormat="1" applyFont="1" applyFill="1" applyBorder="1" applyAlignment="1"/>
    <xf numFmtId="0" fontId="5" fillId="3" borderId="4" xfId="0" applyNumberFormat="1" applyFont="1" applyFill="1" applyBorder="1" applyAlignment="1"/>
    <xf numFmtId="171" fontId="0" fillId="0" borderId="0" xfId="0" applyNumberFormat="1" applyFont="1" applyFill="1" applyBorder="1" applyAlignment="1"/>
    <xf numFmtId="171" fontId="4" fillId="2" borderId="1" xfId="0" applyNumberFormat="1" applyFont="1" applyFill="1" applyBorder="1"/>
    <xf numFmtId="171" fontId="4" fillId="0" borderId="1" xfId="0" applyNumberFormat="1" applyFont="1" applyBorder="1"/>
  </cellXfs>
  <cellStyles count="2">
    <cellStyle name="Normal" xfId="0" builtinId="0"/>
    <cellStyle name="Percent" xfId="1" builtinId="5"/>
  </cellStyles>
  <dxfs count="15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1" formatCode="#,##0.000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0" formatCode="General"/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numFmt numFmtId="14" formatCode="0.00%"/>
    </dxf>
    <dxf>
      <numFmt numFmtId="171" formatCode="#,##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Performance of the MSCI World Index in Nominal and Real Terms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MSCI World Index: Nominal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60-482F-A17B-BE107635C5A9}"/>
                </c:ext>
              </c:extLst>
            </c:dLbl>
            <c:dLbl>
              <c:idx val="42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71-4E29-90E0-83B1F22C92A7}"/>
                </c:ext>
              </c:extLst>
            </c:dLbl>
            <c:dLbl>
              <c:idx val="424"/>
              <c:layout>
                <c:manualLayout>
                  <c:x val="-7.1966666666666776E-2"/>
                  <c:y val="-6.465833333333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60-482F-A17B-BE107635C5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'nominal vs real'!$B$3:$B$427</c:f>
              <c:numCache>
                <c:formatCode>m/d/yyyy</c:formatCode>
                <c:ptCount val="425"/>
                <c:pt idx="0">
                  <c:v>31047</c:v>
                </c:pt>
                <c:pt idx="1">
                  <c:v>31078</c:v>
                </c:pt>
                <c:pt idx="2">
                  <c:v>31106</c:v>
                </c:pt>
                <c:pt idx="3">
                  <c:v>31135</c:v>
                </c:pt>
                <c:pt idx="4">
                  <c:v>31167</c:v>
                </c:pt>
                <c:pt idx="5">
                  <c:v>31198</c:v>
                </c:pt>
                <c:pt idx="6">
                  <c:v>31226</c:v>
                </c:pt>
                <c:pt idx="7">
                  <c:v>31259</c:v>
                </c:pt>
                <c:pt idx="8">
                  <c:v>31289</c:v>
                </c:pt>
                <c:pt idx="9">
                  <c:v>31320</c:v>
                </c:pt>
                <c:pt idx="10">
                  <c:v>31351</c:v>
                </c:pt>
                <c:pt idx="11">
                  <c:v>31380</c:v>
                </c:pt>
                <c:pt idx="12">
                  <c:v>31412</c:v>
                </c:pt>
                <c:pt idx="13">
                  <c:v>31443</c:v>
                </c:pt>
                <c:pt idx="14">
                  <c:v>31471</c:v>
                </c:pt>
                <c:pt idx="15">
                  <c:v>31502</c:v>
                </c:pt>
                <c:pt idx="16">
                  <c:v>31532</c:v>
                </c:pt>
                <c:pt idx="17">
                  <c:v>31562</c:v>
                </c:pt>
                <c:pt idx="18">
                  <c:v>31593</c:v>
                </c:pt>
                <c:pt idx="19">
                  <c:v>31624</c:v>
                </c:pt>
                <c:pt idx="20">
                  <c:v>31653</c:v>
                </c:pt>
                <c:pt idx="21">
                  <c:v>31685</c:v>
                </c:pt>
                <c:pt idx="22">
                  <c:v>31716</c:v>
                </c:pt>
                <c:pt idx="23">
                  <c:v>31744</c:v>
                </c:pt>
                <c:pt idx="24">
                  <c:v>31777</c:v>
                </c:pt>
                <c:pt idx="25">
                  <c:v>31807</c:v>
                </c:pt>
                <c:pt idx="26">
                  <c:v>31835</c:v>
                </c:pt>
                <c:pt idx="27">
                  <c:v>31867</c:v>
                </c:pt>
                <c:pt idx="28">
                  <c:v>31897</c:v>
                </c:pt>
                <c:pt idx="29">
                  <c:v>31926</c:v>
                </c:pt>
                <c:pt idx="30">
                  <c:v>31958</c:v>
                </c:pt>
                <c:pt idx="31">
                  <c:v>31989</c:v>
                </c:pt>
                <c:pt idx="32">
                  <c:v>32020</c:v>
                </c:pt>
                <c:pt idx="33">
                  <c:v>32050</c:v>
                </c:pt>
                <c:pt idx="34">
                  <c:v>32080</c:v>
                </c:pt>
                <c:pt idx="35">
                  <c:v>32111</c:v>
                </c:pt>
                <c:pt idx="36">
                  <c:v>32142</c:v>
                </c:pt>
                <c:pt idx="37">
                  <c:v>32171</c:v>
                </c:pt>
                <c:pt idx="38">
                  <c:v>32202</c:v>
                </c:pt>
                <c:pt idx="39">
                  <c:v>32233</c:v>
                </c:pt>
                <c:pt idx="40">
                  <c:v>32262</c:v>
                </c:pt>
                <c:pt idx="41">
                  <c:v>32294</c:v>
                </c:pt>
                <c:pt idx="42">
                  <c:v>32324</c:v>
                </c:pt>
                <c:pt idx="43">
                  <c:v>32353</c:v>
                </c:pt>
                <c:pt idx="44">
                  <c:v>32386</c:v>
                </c:pt>
                <c:pt idx="45">
                  <c:v>32416</c:v>
                </c:pt>
                <c:pt idx="46">
                  <c:v>32447</c:v>
                </c:pt>
                <c:pt idx="47">
                  <c:v>32477</c:v>
                </c:pt>
                <c:pt idx="48">
                  <c:v>32507</c:v>
                </c:pt>
                <c:pt idx="49">
                  <c:v>32539</c:v>
                </c:pt>
                <c:pt idx="50">
                  <c:v>32567</c:v>
                </c:pt>
                <c:pt idx="51">
                  <c:v>32598</c:v>
                </c:pt>
                <c:pt idx="52">
                  <c:v>32626</c:v>
                </c:pt>
                <c:pt idx="53">
                  <c:v>32659</c:v>
                </c:pt>
                <c:pt idx="54">
                  <c:v>32689</c:v>
                </c:pt>
                <c:pt idx="55">
                  <c:v>32720</c:v>
                </c:pt>
                <c:pt idx="56">
                  <c:v>32751</c:v>
                </c:pt>
                <c:pt idx="57">
                  <c:v>32780</c:v>
                </c:pt>
                <c:pt idx="58">
                  <c:v>32812</c:v>
                </c:pt>
                <c:pt idx="59">
                  <c:v>32842</c:v>
                </c:pt>
                <c:pt idx="60">
                  <c:v>32871</c:v>
                </c:pt>
                <c:pt idx="61">
                  <c:v>32904</c:v>
                </c:pt>
                <c:pt idx="62">
                  <c:v>32932</c:v>
                </c:pt>
                <c:pt idx="63">
                  <c:v>32962</c:v>
                </c:pt>
                <c:pt idx="64">
                  <c:v>32993</c:v>
                </c:pt>
                <c:pt idx="65">
                  <c:v>33024</c:v>
                </c:pt>
                <c:pt idx="66">
                  <c:v>33053</c:v>
                </c:pt>
                <c:pt idx="67">
                  <c:v>33085</c:v>
                </c:pt>
                <c:pt idx="68">
                  <c:v>33116</c:v>
                </c:pt>
                <c:pt idx="69">
                  <c:v>33144</c:v>
                </c:pt>
                <c:pt idx="70">
                  <c:v>33177</c:v>
                </c:pt>
                <c:pt idx="71">
                  <c:v>33207</c:v>
                </c:pt>
                <c:pt idx="72">
                  <c:v>33238</c:v>
                </c:pt>
                <c:pt idx="73">
                  <c:v>33269</c:v>
                </c:pt>
                <c:pt idx="74">
                  <c:v>33297</c:v>
                </c:pt>
                <c:pt idx="75">
                  <c:v>33326</c:v>
                </c:pt>
                <c:pt idx="76">
                  <c:v>33358</c:v>
                </c:pt>
                <c:pt idx="77">
                  <c:v>33389</c:v>
                </c:pt>
                <c:pt idx="78">
                  <c:v>33417</c:v>
                </c:pt>
                <c:pt idx="79">
                  <c:v>33450</c:v>
                </c:pt>
                <c:pt idx="80">
                  <c:v>33480</c:v>
                </c:pt>
                <c:pt idx="81">
                  <c:v>33511</c:v>
                </c:pt>
                <c:pt idx="82">
                  <c:v>33542</c:v>
                </c:pt>
                <c:pt idx="83">
                  <c:v>33571</c:v>
                </c:pt>
                <c:pt idx="84">
                  <c:v>33603</c:v>
                </c:pt>
                <c:pt idx="85">
                  <c:v>33634</c:v>
                </c:pt>
                <c:pt idx="86">
                  <c:v>33662</c:v>
                </c:pt>
                <c:pt idx="87">
                  <c:v>33694</c:v>
                </c:pt>
                <c:pt idx="88">
                  <c:v>33724</c:v>
                </c:pt>
                <c:pt idx="89">
                  <c:v>33753</c:v>
                </c:pt>
                <c:pt idx="90">
                  <c:v>33785</c:v>
                </c:pt>
                <c:pt idx="91">
                  <c:v>33816</c:v>
                </c:pt>
                <c:pt idx="92">
                  <c:v>33847</c:v>
                </c:pt>
                <c:pt idx="93">
                  <c:v>33877</c:v>
                </c:pt>
                <c:pt idx="94">
                  <c:v>33907</c:v>
                </c:pt>
                <c:pt idx="95">
                  <c:v>33938</c:v>
                </c:pt>
                <c:pt idx="96">
                  <c:v>33969</c:v>
                </c:pt>
                <c:pt idx="97">
                  <c:v>33998</c:v>
                </c:pt>
                <c:pt idx="98">
                  <c:v>34026</c:v>
                </c:pt>
                <c:pt idx="99">
                  <c:v>34059</c:v>
                </c:pt>
                <c:pt idx="100">
                  <c:v>34089</c:v>
                </c:pt>
                <c:pt idx="101">
                  <c:v>34120</c:v>
                </c:pt>
                <c:pt idx="102">
                  <c:v>34150</c:v>
                </c:pt>
                <c:pt idx="103">
                  <c:v>34180</c:v>
                </c:pt>
                <c:pt idx="104">
                  <c:v>34212</c:v>
                </c:pt>
                <c:pt idx="105">
                  <c:v>34242</c:v>
                </c:pt>
                <c:pt idx="106">
                  <c:v>34271</c:v>
                </c:pt>
                <c:pt idx="107">
                  <c:v>34303</c:v>
                </c:pt>
                <c:pt idx="108">
                  <c:v>34334</c:v>
                </c:pt>
                <c:pt idx="109">
                  <c:v>34365</c:v>
                </c:pt>
                <c:pt idx="110">
                  <c:v>34393</c:v>
                </c:pt>
                <c:pt idx="111">
                  <c:v>34424</c:v>
                </c:pt>
                <c:pt idx="112">
                  <c:v>34453</c:v>
                </c:pt>
                <c:pt idx="113">
                  <c:v>34485</c:v>
                </c:pt>
                <c:pt idx="114">
                  <c:v>34515</c:v>
                </c:pt>
                <c:pt idx="115">
                  <c:v>34544</c:v>
                </c:pt>
                <c:pt idx="116">
                  <c:v>34577</c:v>
                </c:pt>
                <c:pt idx="117">
                  <c:v>34607</c:v>
                </c:pt>
                <c:pt idx="118">
                  <c:v>34638</c:v>
                </c:pt>
                <c:pt idx="119">
                  <c:v>34668</c:v>
                </c:pt>
                <c:pt idx="120">
                  <c:v>34698</c:v>
                </c:pt>
                <c:pt idx="121">
                  <c:v>34730</c:v>
                </c:pt>
                <c:pt idx="122">
                  <c:v>34758</c:v>
                </c:pt>
                <c:pt idx="123">
                  <c:v>34789</c:v>
                </c:pt>
                <c:pt idx="124">
                  <c:v>34817</c:v>
                </c:pt>
                <c:pt idx="125">
                  <c:v>34850</c:v>
                </c:pt>
                <c:pt idx="126">
                  <c:v>34880</c:v>
                </c:pt>
                <c:pt idx="127">
                  <c:v>34911</c:v>
                </c:pt>
                <c:pt idx="128">
                  <c:v>34942</c:v>
                </c:pt>
                <c:pt idx="129">
                  <c:v>34971</c:v>
                </c:pt>
                <c:pt idx="130">
                  <c:v>35003</c:v>
                </c:pt>
                <c:pt idx="131">
                  <c:v>35033</c:v>
                </c:pt>
                <c:pt idx="132">
                  <c:v>35062</c:v>
                </c:pt>
                <c:pt idx="133">
                  <c:v>35095</c:v>
                </c:pt>
                <c:pt idx="134">
                  <c:v>35124</c:v>
                </c:pt>
                <c:pt idx="135">
                  <c:v>35153</c:v>
                </c:pt>
                <c:pt idx="136">
                  <c:v>35185</c:v>
                </c:pt>
                <c:pt idx="137">
                  <c:v>35216</c:v>
                </c:pt>
                <c:pt idx="138">
                  <c:v>35244</c:v>
                </c:pt>
                <c:pt idx="139">
                  <c:v>35277</c:v>
                </c:pt>
                <c:pt idx="140">
                  <c:v>35307</c:v>
                </c:pt>
                <c:pt idx="141">
                  <c:v>35338</c:v>
                </c:pt>
                <c:pt idx="142">
                  <c:v>35369</c:v>
                </c:pt>
                <c:pt idx="143">
                  <c:v>35398</c:v>
                </c:pt>
                <c:pt idx="144">
                  <c:v>35430</c:v>
                </c:pt>
                <c:pt idx="145">
                  <c:v>35461</c:v>
                </c:pt>
                <c:pt idx="146">
                  <c:v>35489</c:v>
                </c:pt>
                <c:pt idx="147">
                  <c:v>35520</c:v>
                </c:pt>
                <c:pt idx="148">
                  <c:v>35550</c:v>
                </c:pt>
                <c:pt idx="149">
                  <c:v>35580</c:v>
                </c:pt>
                <c:pt idx="150">
                  <c:v>35611</c:v>
                </c:pt>
                <c:pt idx="151">
                  <c:v>35642</c:v>
                </c:pt>
                <c:pt idx="152">
                  <c:v>35671</c:v>
                </c:pt>
                <c:pt idx="153">
                  <c:v>35703</c:v>
                </c:pt>
                <c:pt idx="154">
                  <c:v>35734</c:v>
                </c:pt>
                <c:pt idx="155">
                  <c:v>35762</c:v>
                </c:pt>
                <c:pt idx="156">
                  <c:v>35795</c:v>
                </c:pt>
                <c:pt idx="157">
                  <c:v>35825</c:v>
                </c:pt>
                <c:pt idx="158">
                  <c:v>35853</c:v>
                </c:pt>
                <c:pt idx="159">
                  <c:v>35885</c:v>
                </c:pt>
                <c:pt idx="160">
                  <c:v>35915</c:v>
                </c:pt>
                <c:pt idx="161">
                  <c:v>35944</c:v>
                </c:pt>
                <c:pt idx="162">
                  <c:v>35976</c:v>
                </c:pt>
                <c:pt idx="163">
                  <c:v>36007</c:v>
                </c:pt>
                <c:pt idx="164">
                  <c:v>36038</c:v>
                </c:pt>
                <c:pt idx="165">
                  <c:v>36068</c:v>
                </c:pt>
                <c:pt idx="166">
                  <c:v>36098</c:v>
                </c:pt>
                <c:pt idx="167">
                  <c:v>36129</c:v>
                </c:pt>
                <c:pt idx="168">
                  <c:v>36160</c:v>
                </c:pt>
                <c:pt idx="169">
                  <c:v>36189</c:v>
                </c:pt>
                <c:pt idx="170">
                  <c:v>36217</c:v>
                </c:pt>
                <c:pt idx="171">
                  <c:v>36250</c:v>
                </c:pt>
                <c:pt idx="172">
                  <c:v>36280</c:v>
                </c:pt>
                <c:pt idx="173">
                  <c:v>36311</c:v>
                </c:pt>
                <c:pt idx="174">
                  <c:v>36341</c:v>
                </c:pt>
                <c:pt idx="175">
                  <c:v>36371</c:v>
                </c:pt>
                <c:pt idx="176">
                  <c:v>36403</c:v>
                </c:pt>
                <c:pt idx="177">
                  <c:v>36433</c:v>
                </c:pt>
                <c:pt idx="178">
                  <c:v>36462</c:v>
                </c:pt>
                <c:pt idx="179">
                  <c:v>36494</c:v>
                </c:pt>
                <c:pt idx="180">
                  <c:v>36525</c:v>
                </c:pt>
                <c:pt idx="181">
                  <c:v>36556</c:v>
                </c:pt>
                <c:pt idx="182">
                  <c:v>36585</c:v>
                </c:pt>
                <c:pt idx="183">
                  <c:v>36616</c:v>
                </c:pt>
                <c:pt idx="184">
                  <c:v>36644</c:v>
                </c:pt>
                <c:pt idx="185">
                  <c:v>36677</c:v>
                </c:pt>
                <c:pt idx="186">
                  <c:v>36707</c:v>
                </c:pt>
                <c:pt idx="187">
                  <c:v>36738</c:v>
                </c:pt>
                <c:pt idx="188">
                  <c:v>36769</c:v>
                </c:pt>
                <c:pt idx="189">
                  <c:v>36798</c:v>
                </c:pt>
                <c:pt idx="190">
                  <c:v>36830</c:v>
                </c:pt>
                <c:pt idx="191">
                  <c:v>36860</c:v>
                </c:pt>
                <c:pt idx="192">
                  <c:v>36889</c:v>
                </c:pt>
                <c:pt idx="193">
                  <c:v>36922</c:v>
                </c:pt>
                <c:pt idx="194">
                  <c:v>36950</c:v>
                </c:pt>
                <c:pt idx="195">
                  <c:v>36980</c:v>
                </c:pt>
                <c:pt idx="196">
                  <c:v>37011</c:v>
                </c:pt>
                <c:pt idx="197">
                  <c:v>37042</c:v>
                </c:pt>
                <c:pt idx="198">
                  <c:v>37071</c:v>
                </c:pt>
                <c:pt idx="199">
                  <c:v>37103</c:v>
                </c:pt>
                <c:pt idx="200">
                  <c:v>37134</c:v>
                </c:pt>
                <c:pt idx="201">
                  <c:v>37162</c:v>
                </c:pt>
                <c:pt idx="202">
                  <c:v>37195</c:v>
                </c:pt>
                <c:pt idx="203">
                  <c:v>37225</c:v>
                </c:pt>
                <c:pt idx="204">
                  <c:v>37256</c:v>
                </c:pt>
                <c:pt idx="205">
                  <c:v>37287</c:v>
                </c:pt>
                <c:pt idx="206">
                  <c:v>37315</c:v>
                </c:pt>
                <c:pt idx="207">
                  <c:v>37344</c:v>
                </c:pt>
                <c:pt idx="208">
                  <c:v>37376</c:v>
                </c:pt>
                <c:pt idx="209">
                  <c:v>37407</c:v>
                </c:pt>
                <c:pt idx="210">
                  <c:v>37435</c:v>
                </c:pt>
                <c:pt idx="211">
                  <c:v>37468</c:v>
                </c:pt>
                <c:pt idx="212">
                  <c:v>37498</c:v>
                </c:pt>
                <c:pt idx="213">
                  <c:v>37529</c:v>
                </c:pt>
                <c:pt idx="214">
                  <c:v>37560</c:v>
                </c:pt>
                <c:pt idx="215">
                  <c:v>37589</c:v>
                </c:pt>
                <c:pt idx="216">
                  <c:v>37621</c:v>
                </c:pt>
                <c:pt idx="217">
                  <c:v>37652</c:v>
                </c:pt>
                <c:pt idx="218">
                  <c:v>37680</c:v>
                </c:pt>
                <c:pt idx="219">
                  <c:v>37711</c:v>
                </c:pt>
                <c:pt idx="220">
                  <c:v>37741</c:v>
                </c:pt>
                <c:pt idx="221">
                  <c:v>37771</c:v>
                </c:pt>
                <c:pt idx="222">
                  <c:v>37802</c:v>
                </c:pt>
                <c:pt idx="223">
                  <c:v>37833</c:v>
                </c:pt>
                <c:pt idx="224">
                  <c:v>37862</c:v>
                </c:pt>
                <c:pt idx="225">
                  <c:v>37894</c:v>
                </c:pt>
                <c:pt idx="226">
                  <c:v>37925</c:v>
                </c:pt>
                <c:pt idx="227">
                  <c:v>37953</c:v>
                </c:pt>
                <c:pt idx="228">
                  <c:v>37986</c:v>
                </c:pt>
                <c:pt idx="229">
                  <c:v>38016</c:v>
                </c:pt>
                <c:pt idx="230">
                  <c:v>38044</c:v>
                </c:pt>
                <c:pt idx="231">
                  <c:v>38077</c:v>
                </c:pt>
                <c:pt idx="232">
                  <c:v>38107</c:v>
                </c:pt>
                <c:pt idx="233">
                  <c:v>38138</c:v>
                </c:pt>
                <c:pt idx="234">
                  <c:v>38168</c:v>
                </c:pt>
                <c:pt idx="235">
                  <c:v>38198</c:v>
                </c:pt>
                <c:pt idx="236">
                  <c:v>38230</c:v>
                </c:pt>
                <c:pt idx="237">
                  <c:v>38260</c:v>
                </c:pt>
                <c:pt idx="238">
                  <c:v>38289</c:v>
                </c:pt>
                <c:pt idx="239">
                  <c:v>38321</c:v>
                </c:pt>
                <c:pt idx="240">
                  <c:v>38352</c:v>
                </c:pt>
                <c:pt idx="241">
                  <c:v>38383</c:v>
                </c:pt>
                <c:pt idx="242">
                  <c:v>38411</c:v>
                </c:pt>
                <c:pt idx="243">
                  <c:v>38442</c:v>
                </c:pt>
                <c:pt idx="244">
                  <c:v>38471</c:v>
                </c:pt>
                <c:pt idx="245">
                  <c:v>38503</c:v>
                </c:pt>
                <c:pt idx="246">
                  <c:v>38533</c:v>
                </c:pt>
                <c:pt idx="247">
                  <c:v>38562</c:v>
                </c:pt>
                <c:pt idx="248">
                  <c:v>38595</c:v>
                </c:pt>
                <c:pt idx="249">
                  <c:v>38625</c:v>
                </c:pt>
                <c:pt idx="250">
                  <c:v>38656</c:v>
                </c:pt>
                <c:pt idx="251">
                  <c:v>38686</c:v>
                </c:pt>
                <c:pt idx="252">
                  <c:v>38716</c:v>
                </c:pt>
                <c:pt idx="253">
                  <c:v>38748</c:v>
                </c:pt>
                <c:pt idx="254">
                  <c:v>38776</c:v>
                </c:pt>
                <c:pt idx="255">
                  <c:v>38807</c:v>
                </c:pt>
                <c:pt idx="256">
                  <c:v>38835</c:v>
                </c:pt>
                <c:pt idx="257">
                  <c:v>38868</c:v>
                </c:pt>
                <c:pt idx="258">
                  <c:v>38898</c:v>
                </c:pt>
                <c:pt idx="259">
                  <c:v>38929</c:v>
                </c:pt>
                <c:pt idx="260">
                  <c:v>38960</c:v>
                </c:pt>
                <c:pt idx="261">
                  <c:v>38989</c:v>
                </c:pt>
                <c:pt idx="262">
                  <c:v>39021</c:v>
                </c:pt>
                <c:pt idx="263">
                  <c:v>39051</c:v>
                </c:pt>
                <c:pt idx="264">
                  <c:v>39080</c:v>
                </c:pt>
                <c:pt idx="265">
                  <c:v>39113</c:v>
                </c:pt>
                <c:pt idx="266">
                  <c:v>39141</c:v>
                </c:pt>
                <c:pt idx="267">
                  <c:v>39171</c:v>
                </c:pt>
                <c:pt idx="268">
                  <c:v>39202</c:v>
                </c:pt>
                <c:pt idx="269">
                  <c:v>39233</c:v>
                </c:pt>
                <c:pt idx="270">
                  <c:v>39262</c:v>
                </c:pt>
                <c:pt idx="271">
                  <c:v>39294</c:v>
                </c:pt>
                <c:pt idx="272">
                  <c:v>39325</c:v>
                </c:pt>
                <c:pt idx="273">
                  <c:v>39353</c:v>
                </c:pt>
                <c:pt idx="274">
                  <c:v>39386</c:v>
                </c:pt>
                <c:pt idx="275">
                  <c:v>39416</c:v>
                </c:pt>
                <c:pt idx="276">
                  <c:v>39447</c:v>
                </c:pt>
                <c:pt idx="277">
                  <c:v>39478</c:v>
                </c:pt>
                <c:pt idx="278">
                  <c:v>39507</c:v>
                </c:pt>
                <c:pt idx="279">
                  <c:v>39538</c:v>
                </c:pt>
                <c:pt idx="280">
                  <c:v>39568</c:v>
                </c:pt>
                <c:pt idx="281">
                  <c:v>39598</c:v>
                </c:pt>
                <c:pt idx="282">
                  <c:v>39629</c:v>
                </c:pt>
                <c:pt idx="283">
                  <c:v>39660</c:v>
                </c:pt>
                <c:pt idx="284">
                  <c:v>39689</c:v>
                </c:pt>
                <c:pt idx="285">
                  <c:v>39721</c:v>
                </c:pt>
                <c:pt idx="286">
                  <c:v>39752</c:v>
                </c:pt>
                <c:pt idx="287">
                  <c:v>39780</c:v>
                </c:pt>
                <c:pt idx="288">
                  <c:v>39813</c:v>
                </c:pt>
                <c:pt idx="289">
                  <c:v>39843</c:v>
                </c:pt>
                <c:pt idx="290">
                  <c:v>39871</c:v>
                </c:pt>
                <c:pt idx="291">
                  <c:v>39903</c:v>
                </c:pt>
                <c:pt idx="292">
                  <c:v>39933</c:v>
                </c:pt>
                <c:pt idx="293">
                  <c:v>39962</c:v>
                </c:pt>
                <c:pt idx="294">
                  <c:v>39994</c:v>
                </c:pt>
                <c:pt idx="295">
                  <c:v>40025</c:v>
                </c:pt>
                <c:pt idx="296">
                  <c:v>40056</c:v>
                </c:pt>
                <c:pt idx="297">
                  <c:v>40086</c:v>
                </c:pt>
                <c:pt idx="298">
                  <c:v>40116</c:v>
                </c:pt>
                <c:pt idx="299">
                  <c:v>40147</c:v>
                </c:pt>
                <c:pt idx="300">
                  <c:v>40178</c:v>
                </c:pt>
                <c:pt idx="301">
                  <c:v>40207</c:v>
                </c:pt>
                <c:pt idx="302">
                  <c:v>40235</c:v>
                </c:pt>
                <c:pt idx="303">
                  <c:v>40268</c:v>
                </c:pt>
                <c:pt idx="304">
                  <c:v>40298</c:v>
                </c:pt>
                <c:pt idx="305">
                  <c:v>40329</c:v>
                </c:pt>
                <c:pt idx="306">
                  <c:v>40359</c:v>
                </c:pt>
                <c:pt idx="307">
                  <c:v>40389</c:v>
                </c:pt>
                <c:pt idx="308">
                  <c:v>40421</c:v>
                </c:pt>
                <c:pt idx="309">
                  <c:v>40451</c:v>
                </c:pt>
                <c:pt idx="310">
                  <c:v>40480</c:v>
                </c:pt>
                <c:pt idx="311">
                  <c:v>40512</c:v>
                </c:pt>
                <c:pt idx="312">
                  <c:v>40543</c:v>
                </c:pt>
                <c:pt idx="313">
                  <c:v>40574</c:v>
                </c:pt>
                <c:pt idx="314">
                  <c:v>40602</c:v>
                </c:pt>
                <c:pt idx="315">
                  <c:v>40633</c:v>
                </c:pt>
                <c:pt idx="316">
                  <c:v>40662</c:v>
                </c:pt>
                <c:pt idx="317">
                  <c:v>40694</c:v>
                </c:pt>
                <c:pt idx="318">
                  <c:v>40724</c:v>
                </c:pt>
                <c:pt idx="319">
                  <c:v>40753</c:v>
                </c:pt>
                <c:pt idx="320">
                  <c:v>40786</c:v>
                </c:pt>
                <c:pt idx="321">
                  <c:v>40816</c:v>
                </c:pt>
                <c:pt idx="322">
                  <c:v>40847</c:v>
                </c:pt>
                <c:pt idx="323">
                  <c:v>40877</c:v>
                </c:pt>
                <c:pt idx="324">
                  <c:v>40907</c:v>
                </c:pt>
                <c:pt idx="325">
                  <c:v>40939</c:v>
                </c:pt>
                <c:pt idx="326">
                  <c:v>40968</c:v>
                </c:pt>
                <c:pt idx="327">
                  <c:v>40998</c:v>
                </c:pt>
                <c:pt idx="328">
                  <c:v>41029</c:v>
                </c:pt>
                <c:pt idx="329">
                  <c:v>41060</c:v>
                </c:pt>
                <c:pt idx="330">
                  <c:v>41089</c:v>
                </c:pt>
                <c:pt idx="331">
                  <c:v>41121</c:v>
                </c:pt>
                <c:pt idx="332">
                  <c:v>41152</c:v>
                </c:pt>
                <c:pt idx="333">
                  <c:v>41180</c:v>
                </c:pt>
                <c:pt idx="334">
                  <c:v>41213</c:v>
                </c:pt>
                <c:pt idx="335">
                  <c:v>41243</c:v>
                </c:pt>
                <c:pt idx="336">
                  <c:v>41274</c:v>
                </c:pt>
                <c:pt idx="337">
                  <c:v>41305</c:v>
                </c:pt>
                <c:pt idx="338">
                  <c:v>41333</c:v>
                </c:pt>
                <c:pt idx="339">
                  <c:v>41362</c:v>
                </c:pt>
                <c:pt idx="340">
                  <c:v>41394</c:v>
                </c:pt>
                <c:pt idx="341">
                  <c:v>41425</c:v>
                </c:pt>
                <c:pt idx="342">
                  <c:v>41453</c:v>
                </c:pt>
                <c:pt idx="343">
                  <c:v>41486</c:v>
                </c:pt>
                <c:pt idx="344">
                  <c:v>41516</c:v>
                </c:pt>
                <c:pt idx="345">
                  <c:v>41547</c:v>
                </c:pt>
                <c:pt idx="346">
                  <c:v>41578</c:v>
                </c:pt>
                <c:pt idx="347">
                  <c:v>41607</c:v>
                </c:pt>
                <c:pt idx="348">
                  <c:v>41639</c:v>
                </c:pt>
                <c:pt idx="349">
                  <c:v>41670</c:v>
                </c:pt>
                <c:pt idx="350">
                  <c:v>41698</c:v>
                </c:pt>
                <c:pt idx="351">
                  <c:v>41729</c:v>
                </c:pt>
                <c:pt idx="352">
                  <c:v>41759</c:v>
                </c:pt>
                <c:pt idx="353">
                  <c:v>41789</c:v>
                </c:pt>
                <c:pt idx="354">
                  <c:v>41820</c:v>
                </c:pt>
                <c:pt idx="355">
                  <c:v>41851</c:v>
                </c:pt>
                <c:pt idx="356">
                  <c:v>41880</c:v>
                </c:pt>
                <c:pt idx="357">
                  <c:v>41912</c:v>
                </c:pt>
                <c:pt idx="358">
                  <c:v>41943</c:v>
                </c:pt>
                <c:pt idx="359">
                  <c:v>41971</c:v>
                </c:pt>
                <c:pt idx="360">
                  <c:v>42004</c:v>
                </c:pt>
                <c:pt idx="361">
                  <c:v>42034</c:v>
                </c:pt>
                <c:pt idx="362">
                  <c:v>42062</c:v>
                </c:pt>
                <c:pt idx="363">
                  <c:v>42094</c:v>
                </c:pt>
                <c:pt idx="364">
                  <c:v>42124</c:v>
                </c:pt>
                <c:pt idx="365">
                  <c:v>42153</c:v>
                </c:pt>
                <c:pt idx="366">
                  <c:v>42185</c:v>
                </c:pt>
                <c:pt idx="367">
                  <c:v>42216</c:v>
                </c:pt>
                <c:pt idx="368">
                  <c:v>42247</c:v>
                </c:pt>
                <c:pt idx="369">
                  <c:v>42277</c:v>
                </c:pt>
                <c:pt idx="370">
                  <c:v>42307</c:v>
                </c:pt>
                <c:pt idx="371">
                  <c:v>42338</c:v>
                </c:pt>
                <c:pt idx="372">
                  <c:v>42369</c:v>
                </c:pt>
                <c:pt idx="373">
                  <c:v>42398</c:v>
                </c:pt>
                <c:pt idx="374">
                  <c:v>42429</c:v>
                </c:pt>
                <c:pt idx="375">
                  <c:v>42460</c:v>
                </c:pt>
                <c:pt idx="376">
                  <c:v>42489</c:v>
                </c:pt>
                <c:pt idx="377">
                  <c:v>42521</c:v>
                </c:pt>
                <c:pt idx="378">
                  <c:v>42551</c:v>
                </c:pt>
                <c:pt idx="379">
                  <c:v>42580</c:v>
                </c:pt>
                <c:pt idx="380">
                  <c:v>42613</c:v>
                </c:pt>
                <c:pt idx="381">
                  <c:v>42643</c:v>
                </c:pt>
                <c:pt idx="382">
                  <c:v>42674</c:v>
                </c:pt>
                <c:pt idx="383">
                  <c:v>42704</c:v>
                </c:pt>
                <c:pt idx="384">
                  <c:v>42734</c:v>
                </c:pt>
                <c:pt idx="385">
                  <c:v>42766</c:v>
                </c:pt>
                <c:pt idx="386">
                  <c:v>42794</c:v>
                </c:pt>
                <c:pt idx="387">
                  <c:v>42825</c:v>
                </c:pt>
                <c:pt idx="388">
                  <c:v>42853</c:v>
                </c:pt>
                <c:pt idx="389">
                  <c:v>42886</c:v>
                </c:pt>
                <c:pt idx="390">
                  <c:v>42916</c:v>
                </c:pt>
                <c:pt idx="391">
                  <c:v>42947</c:v>
                </c:pt>
                <c:pt idx="392">
                  <c:v>42978</c:v>
                </c:pt>
                <c:pt idx="393">
                  <c:v>43007</c:v>
                </c:pt>
                <c:pt idx="394">
                  <c:v>43039</c:v>
                </c:pt>
                <c:pt idx="395">
                  <c:v>43069</c:v>
                </c:pt>
                <c:pt idx="396">
                  <c:v>43098</c:v>
                </c:pt>
                <c:pt idx="397">
                  <c:v>43131</c:v>
                </c:pt>
                <c:pt idx="398">
                  <c:v>43159</c:v>
                </c:pt>
                <c:pt idx="399">
                  <c:v>43189</c:v>
                </c:pt>
                <c:pt idx="400">
                  <c:v>43220</c:v>
                </c:pt>
                <c:pt idx="401">
                  <c:v>43251</c:v>
                </c:pt>
                <c:pt idx="402">
                  <c:v>43280</c:v>
                </c:pt>
                <c:pt idx="403">
                  <c:v>43312</c:v>
                </c:pt>
                <c:pt idx="404">
                  <c:v>43343</c:v>
                </c:pt>
                <c:pt idx="405">
                  <c:v>43371</c:v>
                </c:pt>
                <c:pt idx="406">
                  <c:v>43404</c:v>
                </c:pt>
                <c:pt idx="407">
                  <c:v>43434</c:v>
                </c:pt>
                <c:pt idx="408">
                  <c:v>43465</c:v>
                </c:pt>
                <c:pt idx="409">
                  <c:v>43496</c:v>
                </c:pt>
                <c:pt idx="410">
                  <c:v>43524</c:v>
                </c:pt>
                <c:pt idx="411">
                  <c:v>43553</c:v>
                </c:pt>
                <c:pt idx="412">
                  <c:v>43585</c:v>
                </c:pt>
                <c:pt idx="413">
                  <c:v>43616</c:v>
                </c:pt>
                <c:pt idx="414">
                  <c:v>43644</c:v>
                </c:pt>
                <c:pt idx="415">
                  <c:v>43677</c:v>
                </c:pt>
                <c:pt idx="416">
                  <c:v>43707</c:v>
                </c:pt>
                <c:pt idx="417">
                  <c:v>43738</c:v>
                </c:pt>
                <c:pt idx="418">
                  <c:v>43769</c:v>
                </c:pt>
                <c:pt idx="419">
                  <c:v>43798</c:v>
                </c:pt>
                <c:pt idx="420">
                  <c:v>43830</c:v>
                </c:pt>
                <c:pt idx="421">
                  <c:v>43861</c:v>
                </c:pt>
                <c:pt idx="422">
                  <c:v>43889</c:v>
                </c:pt>
                <c:pt idx="423">
                  <c:v>43921</c:v>
                </c:pt>
                <c:pt idx="424">
                  <c:v>43951</c:v>
                </c:pt>
              </c:numCache>
            </c:numRef>
          </c:cat>
          <c:val>
            <c:numRef>
              <c:f>'nominal vs real'!$C$3:$C$427</c:f>
              <c:numCache>
                <c:formatCode>#,##0</c:formatCode>
                <c:ptCount val="425"/>
                <c:pt idx="0">
                  <c:v>100</c:v>
                </c:pt>
                <c:pt idx="1">
                  <c:v>105.49461100842555</c:v>
                </c:pt>
                <c:pt idx="2">
                  <c:v>105.67464413452075</c:v>
                </c:pt>
                <c:pt idx="3">
                  <c:v>109.31577124476617</c:v>
                </c:pt>
                <c:pt idx="4">
                  <c:v>108.988282415393</c:v>
                </c:pt>
                <c:pt idx="5">
                  <c:v>114.56142215882008</c:v>
                </c:pt>
                <c:pt idx="6">
                  <c:v>116.57676441036578</c:v>
                </c:pt>
                <c:pt idx="7">
                  <c:v>118.95285875458227</c:v>
                </c:pt>
                <c:pt idx="8">
                  <c:v>119.89828985676222</c:v>
                </c:pt>
                <c:pt idx="9">
                  <c:v>120.76347762273971</c:v>
                </c:pt>
                <c:pt idx="10">
                  <c:v>127.23163919304008</c:v>
                </c:pt>
                <c:pt idx="11">
                  <c:v>134.31088463134358</c:v>
                </c:pt>
                <c:pt idx="12">
                  <c:v>140.5647210515306</c:v>
                </c:pt>
                <c:pt idx="13">
                  <c:v>142.60955444373192</c:v>
                </c:pt>
                <c:pt idx="14">
                  <c:v>155.42311213834773</c:v>
                </c:pt>
                <c:pt idx="15">
                  <c:v>170.57401419003952</c:v>
                </c:pt>
                <c:pt idx="16">
                  <c:v>175.22195512545738</c:v>
                </c:pt>
                <c:pt idx="17">
                  <c:v>174.67259690068687</c:v>
                </c:pt>
                <c:pt idx="18">
                  <c:v>181.63593529780906</c:v>
                </c:pt>
                <c:pt idx="19">
                  <c:v>183.04910960759634</c:v>
                </c:pt>
                <c:pt idx="20">
                  <c:v>198.9962724569892</c:v>
                </c:pt>
                <c:pt idx="21">
                  <c:v>191.03880828358135</c:v>
                </c:pt>
                <c:pt idx="22">
                  <c:v>187.70768107045981</c:v>
                </c:pt>
                <c:pt idx="23">
                  <c:v>195.59896163751273</c:v>
                </c:pt>
                <c:pt idx="24">
                  <c:v>199.44686965258751</c:v>
                </c:pt>
                <c:pt idx="25">
                  <c:v>222.82271366502863</c:v>
                </c:pt>
                <c:pt idx="26">
                  <c:v>230.11525549272497</c:v>
                </c:pt>
                <c:pt idx="27">
                  <c:v>244.30941007431079</c:v>
                </c:pt>
                <c:pt idx="28">
                  <c:v>258.57866418849636</c:v>
                </c:pt>
                <c:pt idx="29">
                  <c:v>258.88043399985594</c:v>
                </c:pt>
                <c:pt idx="30">
                  <c:v>258.67159557358553</c:v>
                </c:pt>
                <c:pt idx="31">
                  <c:v>263.78042131180706</c:v>
                </c:pt>
                <c:pt idx="32">
                  <c:v>279.31196483010018</c:v>
                </c:pt>
                <c:pt idx="33">
                  <c:v>274.387287260856</c:v>
                </c:pt>
                <c:pt idx="34">
                  <c:v>227.73538902586645</c:v>
                </c:pt>
                <c:pt idx="35">
                  <c:v>222.12967185962216</c:v>
                </c:pt>
                <c:pt idx="36">
                  <c:v>231.6851443522751</c:v>
                </c:pt>
                <c:pt idx="37">
                  <c:v>237.27097214458888</c:v>
                </c:pt>
                <c:pt idx="38">
                  <c:v>250.97303618151454</c:v>
                </c:pt>
                <c:pt idx="39">
                  <c:v>258.48298944148581</c:v>
                </c:pt>
                <c:pt idx="40">
                  <c:v>261.67420519661334</c:v>
                </c:pt>
                <c:pt idx="41">
                  <c:v>256.37540164533129</c:v>
                </c:pt>
                <c:pt idx="42">
                  <c:v>255.95120930822696</c:v>
                </c:pt>
                <c:pt idx="43">
                  <c:v>260.69516791089558</c:v>
                </c:pt>
                <c:pt idx="44">
                  <c:v>246.30349127096528</c:v>
                </c:pt>
                <c:pt idx="45">
                  <c:v>256.68265818053379</c:v>
                </c:pt>
                <c:pt idx="46">
                  <c:v>273.69561713641019</c:v>
                </c:pt>
                <c:pt idx="47">
                  <c:v>283.15129983917041</c:v>
                </c:pt>
                <c:pt idx="48">
                  <c:v>285.63747158048511</c:v>
                </c:pt>
                <c:pt idx="49">
                  <c:v>295.89901684767136</c:v>
                </c:pt>
                <c:pt idx="50">
                  <c:v>293.96357501208792</c:v>
                </c:pt>
                <c:pt idx="51">
                  <c:v>292.00241415849086</c:v>
                </c:pt>
                <c:pt idx="52">
                  <c:v>298.66363982401333</c:v>
                </c:pt>
                <c:pt idx="53">
                  <c:v>291.26444980162063</c:v>
                </c:pt>
                <c:pt idx="54">
                  <c:v>287.90040224544168</c:v>
                </c:pt>
                <c:pt idx="55">
                  <c:v>320.35403085596317</c:v>
                </c:pt>
                <c:pt idx="56">
                  <c:v>312.52276133094199</c:v>
                </c:pt>
                <c:pt idx="57">
                  <c:v>321.26688453532591</c:v>
                </c:pt>
                <c:pt idx="58">
                  <c:v>310.4720982946576</c:v>
                </c:pt>
                <c:pt idx="59">
                  <c:v>322.7846495183685</c:v>
                </c:pt>
                <c:pt idx="60">
                  <c:v>333.07740052741133</c:v>
                </c:pt>
                <c:pt idx="61">
                  <c:v>317.43955173466202</c:v>
                </c:pt>
                <c:pt idx="62">
                  <c:v>303.74194566085873</c:v>
                </c:pt>
                <c:pt idx="63">
                  <c:v>285.31169735231282</c:v>
                </c:pt>
                <c:pt idx="64">
                  <c:v>281.11023856961111</c:v>
                </c:pt>
                <c:pt idx="65">
                  <c:v>310.62264028009724</c:v>
                </c:pt>
                <c:pt idx="66">
                  <c:v>308.31821626607865</c:v>
                </c:pt>
                <c:pt idx="67">
                  <c:v>311.03483040879524</c:v>
                </c:pt>
                <c:pt idx="68">
                  <c:v>281.82694187159012</c:v>
                </c:pt>
                <c:pt idx="69">
                  <c:v>252.01379911046487</c:v>
                </c:pt>
                <c:pt idx="70">
                  <c:v>275.44279576013412</c:v>
                </c:pt>
                <c:pt idx="71">
                  <c:v>270.8219455236906</c:v>
                </c:pt>
                <c:pt idx="72">
                  <c:v>276.39508526711774</c:v>
                </c:pt>
                <c:pt idx="73">
                  <c:v>286.40526999825113</c:v>
                </c:pt>
                <c:pt idx="74">
                  <c:v>312.82007317917925</c:v>
                </c:pt>
                <c:pt idx="75">
                  <c:v>303.50464485465324</c:v>
                </c:pt>
                <c:pt idx="76">
                  <c:v>305.78334985065823</c:v>
                </c:pt>
                <c:pt idx="77">
                  <c:v>312.61809315771245</c:v>
                </c:pt>
                <c:pt idx="78">
                  <c:v>293.22458189449713</c:v>
                </c:pt>
                <c:pt idx="79">
                  <c:v>306.97842688769015</c:v>
                </c:pt>
                <c:pt idx="80">
                  <c:v>305.90817281808421</c:v>
                </c:pt>
                <c:pt idx="81">
                  <c:v>313.83546001035614</c:v>
                </c:pt>
                <c:pt idx="82">
                  <c:v>318.82906454787678</c:v>
                </c:pt>
                <c:pt idx="83">
                  <c:v>304.83894750919882</c:v>
                </c:pt>
                <c:pt idx="84">
                  <c:v>326.93192690312156</c:v>
                </c:pt>
                <c:pt idx="85">
                  <c:v>320.78302407643008</c:v>
                </c:pt>
                <c:pt idx="86">
                  <c:v>315.15193081241233</c:v>
                </c:pt>
                <c:pt idx="87">
                  <c:v>300.2095242667508</c:v>
                </c:pt>
                <c:pt idx="88">
                  <c:v>304.29644768923197</c:v>
                </c:pt>
                <c:pt idx="89">
                  <c:v>316.30345697894126</c:v>
                </c:pt>
                <c:pt idx="90">
                  <c:v>305.60948928888627</c:v>
                </c:pt>
                <c:pt idx="91">
                  <c:v>306.28984304540609</c:v>
                </c:pt>
                <c:pt idx="92">
                  <c:v>313.63725211153138</c:v>
                </c:pt>
                <c:pt idx="93">
                  <c:v>310.66139026723772</c:v>
                </c:pt>
                <c:pt idx="94">
                  <c:v>302.14702362377534</c:v>
                </c:pt>
                <c:pt idx="95">
                  <c:v>307.45748646322352</c:v>
                </c:pt>
                <c:pt idx="96">
                  <c:v>309.84558301584633</c:v>
                </c:pt>
                <c:pt idx="97">
                  <c:v>310.78895659658519</c:v>
                </c:pt>
                <c:pt idx="98">
                  <c:v>318.05817984794919</c:v>
                </c:pt>
                <c:pt idx="99">
                  <c:v>336.40475561789083</c:v>
                </c:pt>
                <c:pt idx="100">
                  <c:v>351.90303587288628</c:v>
                </c:pt>
                <c:pt idx="101">
                  <c:v>359.91982524784561</c:v>
                </c:pt>
                <c:pt idx="102">
                  <c:v>356.80782406819998</c:v>
                </c:pt>
                <c:pt idx="103">
                  <c:v>364.06607387187813</c:v>
                </c:pt>
                <c:pt idx="104">
                  <c:v>380.66444225737536</c:v>
                </c:pt>
                <c:pt idx="105">
                  <c:v>373.54027426760808</c:v>
                </c:pt>
                <c:pt idx="106">
                  <c:v>383.74386601420377</c:v>
                </c:pt>
                <c:pt idx="107">
                  <c:v>361.94614094707708</c:v>
                </c:pt>
                <c:pt idx="108">
                  <c:v>379.56846916975582</c:v>
                </c:pt>
                <c:pt idx="109">
                  <c:v>404.51454496198727</c:v>
                </c:pt>
                <c:pt idx="110">
                  <c:v>399.19036531293182</c:v>
                </c:pt>
                <c:pt idx="111">
                  <c:v>381.891067956504</c:v>
                </c:pt>
                <c:pt idx="112">
                  <c:v>393.6069379622993</c:v>
                </c:pt>
                <c:pt idx="113">
                  <c:v>394.53042216910768</c:v>
                </c:pt>
                <c:pt idx="114">
                  <c:v>393.34460397856066</c:v>
                </c:pt>
                <c:pt idx="115">
                  <c:v>400.73247763302732</c:v>
                </c:pt>
                <c:pt idx="116">
                  <c:v>412.70930994160062</c:v>
                </c:pt>
                <c:pt idx="117">
                  <c:v>401.77426932269822</c:v>
                </c:pt>
                <c:pt idx="118">
                  <c:v>413.11052662261284</c:v>
                </c:pt>
                <c:pt idx="119">
                  <c:v>395.10207020948997</c:v>
                </c:pt>
                <c:pt idx="120">
                  <c:v>398.8354428643442</c:v>
                </c:pt>
                <c:pt idx="121">
                  <c:v>392.75306656424777</c:v>
                </c:pt>
                <c:pt idx="122">
                  <c:v>398.38347398778518</c:v>
                </c:pt>
                <c:pt idx="123">
                  <c:v>417.48858932900794</c:v>
                </c:pt>
                <c:pt idx="124">
                  <c:v>431.94164869193071</c:v>
                </c:pt>
                <c:pt idx="125">
                  <c:v>435.53888201143292</c:v>
                </c:pt>
                <c:pt idx="126">
                  <c:v>435.3070679290704</c:v>
                </c:pt>
                <c:pt idx="127">
                  <c:v>456.98922887525595</c:v>
                </c:pt>
                <c:pt idx="128">
                  <c:v>446.70985175558013</c:v>
                </c:pt>
                <c:pt idx="129">
                  <c:v>459.6242280008093</c:v>
                </c:pt>
                <c:pt idx="130">
                  <c:v>452.28882114309033</c:v>
                </c:pt>
                <c:pt idx="131">
                  <c:v>467.89443543326257</c:v>
                </c:pt>
                <c:pt idx="132">
                  <c:v>481.47544862540423</c:v>
                </c:pt>
                <c:pt idx="133">
                  <c:v>490.08583293611736</c:v>
                </c:pt>
                <c:pt idx="134">
                  <c:v>492.96979215604244</c:v>
                </c:pt>
                <c:pt idx="135">
                  <c:v>501.07093991008634</c:v>
                </c:pt>
                <c:pt idx="136">
                  <c:v>512.7504603704225</c:v>
                </c:pt>
                <c:pt idx="137">
                  <c:v>513.09098016892244</c:v>
                </c:pt>
                <c:pt idx="138">
                  <c:v>515.58263863408013</c:v>
                </c:pt>
                <c:pt idx="139">
                  <c:v>497.25800975951</c:v>
                </c:pt>
                <c:pt idx="140">
                  <c:v>502.87024241031776</c:v>
                </c:pt>
                <c:pt idx="141">
                  <c:v>522.45510316755428</c:v>
                </c:pt>
                <c:pt idx="142">
                  <c:v>525.99884092958825</c:v>
                </c:pt>
                <c:pt idx="143">
                  <c:v>555.37133118208033</c:v>
                </c:pt>
                <c:pt idx="144">
                  <c:v>546.37276115948191</c:v>
                </c:pt>
                <c:pt idx="145">
                  <c:v>552.8549824596297</c:v>
                </c:pt>
                <c:pt idx="146">
                  <c:v>559.11019056077748</c:v>
                </c:pt>
                <c:pt idx="147">
                  <c:v>547.94642214167402</c:v>
                </c:pt>
                <c:pt idx="148">
                  <c:v>565.75289853333015</c:v>
                </c:pt>
                <c:pt idx="149">
                  <c:v>600.56993343918134</c:v>
                </c:pt>
                <c:pt idx="150">
                  <c:v>630.42045450648629</c:v>
                </c:pt>
                <c:pt idx="151">
                  <c:v>659.3526351705857</c:v>
                </c:pt>
                <c:pt idx="152">
                  <c:v>615.14130028496675</c:v>
                </c:pt>
                <c:pt idx="153">
                  <c:v>648.45634453882371</c:v>
                </c:pt>
                <c:pt idx="154">
                  <c:v>614.22261696152088</c:v>
                </c:pt>
                <c:pt idx="155">
                  <c:v>624.98722622105322</c:v>
                </c:pt>
                <c:pt idx="156">
                  <c:v>632.49957992270572</c:v>
                </c:pt>
                <c:pt idx="157">
                  <c:v>650.02108959477118</c:v>
                </c:pt>
                <c:pt idx="158">
                  <c:v>693.8860750378069</c:v>
                </c:pt>
                <c:pt idx="159">
                  <c:v>723.07990384516461</c:v>
                </c:pt>
                <c:pt idx="160">
                  <c:v>730.03741259820379</c:v>
                </c:pt>
                <c:pt idx="161">
                  <c:v>720.77925195378805</c:v>
                </c:pt>
                <c:pt idx="162">
                  <c:v>737.77575073813568</c:v>
                </c:pt>
                <c:pt idx="163">
                  <c:v>736.48259851241198</c:v>
                </c:pt>
                <c:pt idx="164">
                  <c:v>638.16016432737911</c:v>
                </c:pt>
                <c:pt idx="165">
                  <c:v>649.33696371560939</c:v>
                </c:pt>
                <c:pt idx="166">
                  <c:v>707.92557259107093</c:v>
                </c:pt>
                <c:pt idx="167">
                  <c:v>749.91444140007468</c:v>
                </c:pt>
                <c:pt idx="168">
                  <c:v>786.43750450082803</c:v>
                </c:pt>
                <c:pt idx="169">
                  <c:v>803.54373776203386</c:v>
                </c:pt>
                <c:pt idx="170">
                  <c:v>782.05429799083038</c:v>
                </c:pt>
                <c:pt idx="171">
                  <c:v>814.5017540370286</c:v>
                </c:pt>
                <c:pt idx="172">
                  <c:v>846.49621244594709</c:v>
                </c:pt>
                <c:pt idx="173">
                  <c:v>815.45027142136996</c:v>
                </c:pt>
                <c:pt idx="174">
                  <c:v>853.36970574014185</c:v>
                </c:pt>
                <c:pt idx="175">
                  <c:v>850.69458494648723</c:v>
                </c:pt>
                <c:pt idx="176">
                  <c:v>849.06674256634642</c:v>
                </c:pt>
                <c:pt idx="177">
                  <c:v>840.71834931913179</c:v>
                </c:pt>
                <c:pt idx="178">
                  <c:v>884.30351184617973</c:v>
                </c:pt>
                <c:pt idx="179">
                  <c:v>909.06646823015433</c:v>
                </c:pt>
                <c:pt idx="180">
                  <c:v>982.53472924732432</c:v>
                </c:pt>
                <c:pt idx="181">
                  <c:v>926.15555547935105</c:v>
                </c:pt>
                <c:pt idx="182">
                  <c:v>928.54228035101312</c:v>
                </c:pt>
                <c:pt idx="183">
                  <c:v>992.60663962169042</c:v>
                </c:pt>
                <c:pt idx="184">
                  <c:v>950.52312482639661</c:v>
                </c:pt>
                <c:pt idx="185">
                  <c:v>926.34553329241146</c:v>
                </c:pt>
                <c:pt idx="186">
                  <c:v>957.42268005884512</c:v>
                </c:pt>
                <c:pt idx="187">
                  <c:v>930.35564258109207</c:v>
                </c:pt>
                <c:pt idx="188">
                  <c:v>960.50347549663422</c:v>
                </c:pt>
                <c:pt idx="189">
                  <c:v>909.31817168644739</c:v>
                </c:pt>
                <c:pt idx="190">
                  <c:v>893.97111925737192</c:v>
                </c:pt>
                <c:pt idx="191">
                  <c:v>839.58328332413157</c:v>
                </c:pt>
                <c:pt idx="192">
                  <c:v>853.05284743821426</c:v>
                </c:pt>
                <c:pt idx="193">
                  <c:v>869.47975570362087</c:v>
                </c:pt>
                <c:pt idx="194">
                  <c:v>795.90210312983311</c:v>
                </c:pt>
                <c:pt idx="195">
                  <c:v>743.49120238123817</c:v>
                </c:pt>
                <c:pt idx="196">
                  <c:v>798.29705808725953</c:v>
                </c:pt>
                <c:pt idx="197">
                  <c:v>787.89457260135862</c:v>
                </c:pt>
                <c:pt idx="198">
                  <c:v>763.09801003384621</c:v>
                </c:pt>
                <c:pt idx="199">
                  <c:v>752.89819040989255</c:v>
                </c:pt>
                <c:pt idx="200">
                  <c:v>716.64877766080383</c:v>
                </c:pt>
                <c:pt idx="201">
                  <c:v>653.40502652488055</c:v>
                </c:pt>
                <c:pt idx="202">
                  <c:v>665.88183654363831</c:v>
                </c:pt>
                <c:pt idx="203">
                  <c:v>705.17432350409615</c:v>
                </c:pt>
                <c:pt idx="204">
                  <c:v>709.53592603896266</c:v>
                </c:pt>
                <c:pt idx="205">
                  <c:v>687.9679575327574</c:v>
                </c:pt>
                <c:pt idx="206">
                  <c:v>681.91712989475775</c:v>
                </c:pt>
                <c:pt idx="207">
                  <c:v>711.95557125368214</c:v>
                </c:pt>
                <c:pt idx="208">
                  <c:v>687.7563757445655</c:v>
                </c:pt>
                <c:pt idx="209">
                  <c:v>688.90310102773196</c:v>
                </c:pt>
                <c:pt idx="210">
                  <c:v>646.98555962868591</c:v>
                </c:pt>
                <c:pt idx="211">
                  <c:v>592.39437199301813</c:v>
                </c:pt>
                <c:pt idx="212">
                  <c:v>593.40598670155305</c:v>
                </c:pt>
                <c:pt idx="213">
                  <c:v>528.0717937814843</c:v>
                </c:pt>
                <c:pt idx="214">
                  <c:v>566.98226759438023</c:v>
                </c:pt>
                <c:pt idx="215">
                  <c:v>597.46547650481978</c:v>
                </c:pt>
                <c:pt idx="216">
                  <c:v>568.43693525322942</c:v>
                </c:pt>
                <c:pt idx="217">
                  <c:v>551.11431932046924</c:v>
                </c:pt>
                <c:pt idx="218">
                  <c:v>541.46900172488881</c:v>
                </c:pt>
                <c:pt idx="219">
                  <c:v>539.68170143306361</c:v>
                </c:pt>
                <c:pt idx="220">
                  <c:v>587.50741565019393</c:v>
                </c:pt>
                <c:pt idx="221">
                  <c:v>620.95654171796184</c:v>
                </c:pt>
                <c:pt idx="222">
                  <c:v>631.62513331024343</c:v>
                </c:pt>
                <c:pt idx="223">
                  <c:v>644.3776512021069</c:v>
                </c:pt>
                <c:pt idx="224">
                  <c:v>658.22031253750686</c:v>
                </c:pt>
                <c:pt idx="225">
                  <c:v>662.18172715208163</c:v>
                </c:pt>
                <c:pt idx="226">
                  <c:v>701.41077386810593</c:v>
                </c:pt>
                <c:pt idx="227">
                  <c:v>712.01215309331201</c:v>
                </c:pt>
                <c:pt idx="228">
                  <c:v>756.62710510162435</c:v>
                </c:pt>
                <c:pt idx="229">
                  <c:v>768.76785328500443</c:v>
                </c:pt>
                <c:pt idx="230">
                  <c:v>781.64107910141183</c:v>
                </c:pt>
                <c:pt idx="231">
                  <c:v>776.45441046866915</c:v>
                </c:pt>
                <c:pt idx="232">
                  <c:v>760.55148433025965</c:v>
                </c:pt>
                <c:pt idx="233">
                  <c:v>767.48087362360388</c:v>
                </c:pt>
                <c:pt idx="234">
                  <c:v>783.23634405873531</c:v>
                </c:pt>
                <c:pt idx="235">
                  <c:v>757.66375298769253</c:v>
                </c:pt>
                <c:pt idx="236">
                  <c:v>760.99385144009352</c:v>
                </c:pt>
                <c:pt idx="237">
                  <c:v>775.38998604314622</c:v>
                </c:pt>
                <c:pt idx="238">
                  <c:v>794.36410585261967</c:v>
                </c:pt>
                <c:pt idx="239">
                  <c:v>836.09304111956601</c:v>
                </c:pt>
                <c:pt idx="240">
                  <c:v>868.00931371372337</c:v>
                </c:pt>
                <c:pt idx="241">
                  <c:v>848.46663214602916</c:v>
                </c:pt>
                <c:pt idx="242">
                  <c:v>875.34437765120208</c:v>
                </c:pt>
                <c:pt idx="243">
                  <c:v>858.35267975021691</c:v>
                </c:pt>
                <c:pt idx="244">
                  <c:v>839.64980985072668</c:v>
                </c:pt>
                <c:pt idx="245">
                  <c:v>854.56821197957572</c:v>
                </c:pt>
                <c:pt idx="246">
                  <c:v>861.96260111860568</c:v>
                </c:pt>
                <c:pt idx="247">
                  <c:v>892.07236988748775</c:v>
                </c:pt>
                <c:pt idx="248">
                  <c:v>898.79429243552249</c:v>
                </c:pt>
                <c:pt idx="249">
                  <c:v>922.13927362634718</c:v>
                </c:pt>
                <c:pt idx="250">
                  <c:v>899.76715715691694</c:v>
                </c:pt>
                <c:pt idx="251">
                  <c:v>929.74695915477014</c:v>
                </c:pt>
                <c:pt idx="252">
                  <c:v>950.34514922174242</c:v>
                </c:pt>
                <c:pt idx="253">
                  <c:v>992.78118602394272</c:v>
                </c:pt>
                <c:pt idx="254">
                  <c:v>991.30319978876105</c:v>
                </c:pt>
                <c:pt idx="255">
                  <c:v>1013.1009248558877</c:v>
                </c:pt>
                <c:pt idx="256">
                  <c:v>1043.859498719193</c:v>
                </c:pt>
                <c:pt idx="257">
                  <c:v>1008.2023092248974</c:v>
                </c:pt>
                <c:pt idx="258">
                  <c:v>1007.9067119778611</c:v>
                </c:pt>
                <c:pt idx="259">
                  <c:v>1014.1968979435073</c:v>
                </c:pt>
                <c:pt idx="260">
                  <c:v>1040.5225418619882</c:v>
                </c:pt>
                <c:pt idx="261">
                  <c:v>1052.929396151749</c:v>
                </c:pt>
                <c:pt idx="262">
                  <c:v>1091.5747926189847</c:v>
                </c:pt>
                <c:pt idx="263">
                  <c:v>1118.3054253411199</c:v>
                </c:pt>
                <c:pt idx="264">
                  <c:v>1141.0417231056229</c:v>
                </c:pt>
                <c:pt idx="265">
                  <c:v>1154.5119730601859</c:v>
                </c:pt>
                <c:pt idx="266">
                  <c:v>1148.504353372449</c:v>
                </c:pt>
                <c:pt idx="267">
                  <c:v>1169.5281074574864</c:v>
                </c:pt>
                <c:pt idx="268">
                  <c:v>1221.1063978629211</c:v>
                </c:pt>
                <c:pt idx="269">
                  <c:v>1255.3212648270137</c:v>
                </c:pt>
                <c:pt idx="270">
                  <c:v>1245.6385689252536</c:v>
                </c:pt>
                <c:pt idx="271">
                  <c:v>1218.0520072836259</c:v>
                </c:pt>
                <c:pt idx="272">
                  <c:v>1217.1281801565774</c:v>
                </c:pt>
                <c:pt idx="273">
                  <c:v>1275.0090016563047</c:v>
                </c:pt>
                <c:pt idx="274">
                  <c:v>1314.1156258465844</c:v>
                </c:pt>
                <c:pt idx="275">
                  <c:v>1260.4002565043395</c:v>
                </c:pt>
                <c:pt idx="276">
                  <c:v>1244.139321635181</c:v>
                </c:pt>
                <c:pt idx="277">
                  <c:v>1149.0629704437044</c:v>
                </c:pt>
                <c:pt idx="278">
                  <c:v>1142.4123753056276</c:v>
                </c:pt>
                <c:pt idx="279">
                  <c:v>1131.4622461961571</c:v>
                </c:pt>
                <c:pt idx="280">
                  <c:v>1190.9294167269636</c:v>
                </c:pt>
                <c:pt idx="281">
                  <c:v>1209.0891009660063</c:v>
                </c:pt>
                <c:pt idx="282">
                  <c:v>1112.6558143841323</c:v>
                </c:pt>
                <c:pt idx="283">
                  <c:v>1085.4687548223158</c:v>
                </c:pt>
                <c:pt idx="284">
                  <c:v>1070.2214921831333</c:v>
                </c:pt>
                <c:pt idx="285">
                  <c:v>942.93155654926215</c:v>
                </c:pt>
                <c:pt idx="286">
                  <c:v>764.15077517120289</c:v>
                </c:pt>
                <c:pt idx="287">
                  <c:v>714.68830264768712</c:v>
                </c:pt>
                <c:pt idx="288">
                  <c:v>737.61800742765229</c:v>
                </c:pt>
                <c:pt idx="289">
                  <c:v>672.99846028812158</c:v>
                </c:pt>
                <c:pt idx="290">
                  <c:v>604.11092783929382</c:v>
                </c:pt>
                <c:pt idx="291">
                  <c:v>649.6661671461834</c:v>
                </c:pt>
                <c:pt idx="292">
                  <c:v>722.54529119072197</c:v>
                </c:pt>
                <c:pt idx="293">
                  <c:v>788.01219424374074</c:v>
                </c:pt>
                <c:pt idx="294">
                  <c:v>784.45714011378095</c:v>
                </c:pt>
                <c:pt idx="295">
                  <c:v>850.89827956915497</c:v>
                </c:pt>
                <c:pt idx="296">
                  <c:v>886.00199579579782</c:v>
                </c:pt>
                <c:pt idx="297">
                  <c:v>921.31660797015218</c:v>
                </c:pt>
                <c:pt idx="298">
                  <c:v>904.92536340972458</c:v>
                </c:pt>
                <c:pt idx="299">
                  <c:v>941.90313874895833</c:v>
                </c:pt>
                <c:pt idx="300">
                  <c:v>958.81699375542235</c:v>
                </c:pt>
                <c:pt idx="301">
                  <c:v>919.18810203934675</c:v>
                </c:pt>
                <c:pt idx="302">
                  <c:v>932.14568623483854</c:v>
                </c:pt>
                <c:pt idx="303">
                  <c:v>989.87390822768532</c:v>
                </c:pt>
                <c:pt idx="304">
                  <c:v>990.01279092495872</c:v>
                </c:pt>
                <c:pt idx="305">
                  <c:v>895.18128478497192</c:v>
                </c:pt>
                <c:pt idx="306">
                  <c:v>864.48889452802166</c:v>
                </c:pt>
                <c:pt idx="307">
                  <c:v>934.57561905676357</c:v>
                </c:pt>
                <c:pt idx="308">
                  <c:v>899.6831416980724</c:v>
                </c:pt>
                <c:pt idx="309">
                  <c:v>983.57480633579428</c:v>
                </c:pt>
                <c:pt idx="310">
                  <c:v>1020.2381238147818</c:v>
                </c:pt>
                <c:pt idx="311">
                  <c:v>998.21167094745431</c:v>
                </c:pt>
                <c:pt idx="312">
                  <c:v>1071.6055182725049</c:v>
                </c:pt>
                <c:pt idx="313">
                  <c:v>1095.8150013888271</c:v>
                </c:pt>
                <c:pt idx="314">
                  <c:v>1134.1826324615158</c:v>
                </c:pt>
                <c:pt idx="315">
                  <c:v>1122.9976029875211</c:v>
                </c:pt>
                <c:pt idx="316">
                  <c:v>1170.7053526420291</c:v>
                </c:pt>
                <c:pt idx="317">
                  <c:v>1146.4187124716661</c:v>
                </c:pt>
                <c:pt idx="318">
                  <c:v>1128.2826897291959</c:v>
                </c:pt>
                <c:pt idx="319">
                  <c:v>1107.8244111202175</c:v>
                </c:pt>
                <c:pt idx="320">
                  <c:v>1029.7702777311024</c:v>
                </c:pt>
                <c:pt idx="321">
                  <c:v>940.82842671623007</c:v>
                </c:pt>
                <c:pt idx="322">
                  <c:v>1038.1447329165708</c:v>
                </c:pt>
                <c:pt idx="323">
                  <c:v>1012.7977833635674</c:v>
                </c:pt>
                <c:pt idx="324">
                  <c:v>1012.2350512494299</c:v>
                </c:pt>
                <c:pt idx="325">
                  <c:v>1063.0321693477315</c:v>
                </c:pt>
                <c:pt idx="326">
                  <c:v>1114.9598954779108</c:v>
                </c:pt>
                <c:pt idx="327">
                  <c:v>1129.2943044377307</c:v>
                </c:pt>
                <c:pt idx="328">
                  <c:v>1116.4701162156693</c:v>
                </c:pt>
                <c:pt idx="329">
                  <c:v>1020.0920397924647</c:v>
                </c:pt>
                <c:pt idx="330">
                  <c:v>1072.0712039586713</c:v>
                </c:pt>
                <c:pt idx="331">
                  <c:v>1085.8531684115592</c:v>
                </c:pt>
                <c:pt idx="332">
                  <c:v>1113.381433612356</c:v>
                </c:pt>
                <c:pt idx="333">
                  <c:v>1143.9699190365313</c:v>
                </c:pt>
                <c:pt idx="334">
                  <c:v>1136.2394680621235</c:v>
                </c:pt>
                <c:pt idx="335">
                  <c:v>1150.7888880125372</c:v>
                </c:pt>
                <c:pt idx="336">
                  <c:v>1172.4309272906214</c:v>
                </c:pt>
                <c:pt idx="337">
                  <c:v>1232.153916320603</c:v>
                </c:pt>
                <c:pt idx="338">
                  <c:v>1234.1884621055988</c:v>
                </c:pt>
                <c:pt idx="339">
                  <c:v>1263.0973241933659</c:v>
                </c:pt>
                <c:pt idx="340">
                  <c:v>1302.8733286924794</c:v>
                </c:pt>
                <c:pt idx="341">
                  <c:v>1303.3654192371396</c:v>
                </c:pt>
                <c:pt idx="342">
                  <c:v>1271.249909983437</c:v>
                </c:pt>
                <c:pt idx="343">
                  <c:v>1338.1759386584274</c:v>
                </c:pt>
                <c:pt idx="344">
                  <c:v>1309.6929835089657</c:v>
                </c:pt>
                <c:pt idx="345">
                  <c:v>1375.1941785860026</c:v>
                </c:pt>
                <c:pt idx="346">
                  <c:v>1429.0240832884679</c:v>
                </c:pt>
                <c:pt idx="347">
                  <c:v>1454.4200704358175</c:v>
                </c:pt>
                <c:pt idx="348">
                  <c:v>1485.1951044706511</c:v>
                </c:pt>
                <c:pt idx="349">
                  <c:v>1430.1858970622022</c:v>
                </c:pt>
                <c:pt idx="350">
                  <c:v>1501.7824994084626</c:v>
                </c:pt>
                <c:pt idx="351">
                  <c:v>1503.9559278907318</c:v>
                </c:pt>
                <c:pt idx="352">
                  <c:v>1519.3667634844812</c:v>
                </c:pt>
                <c:pt idx="353">
                  <c:v>1549.2601495818087</c:v>
                </c:pt>
                <c:pt idx="354">
                  <c:v>1576.9749633932643</c:v>
                </c:pt>
                <c:pt idx="355">
                  <c:v>1551.807704046116</c:v>
                </c:pt>
                <c:pt idx="356">
                  <c:v>1586.0019957957979</c:v>
                </c:pt>
                <c:pt idx="357">
                  <c:v>1542.9562468065553</c:v>
                </c:pt>
                <c:pt idx="358">
                  <c:v>1552.9376262375135</c:v>
                </c:pt>
                <c:pt idx="359">
                  <c:v>1584.0596955554106</c:v>
                </c:pt>
                <c:pt idx="360">
                  <c:v>1558.5165956250237</c:v>
                </c:pt>
                <c:pt idx="361">
                  <c:v>1530.2767709258503</c:v>
                </c:pt>
                <c:pt idx="362">
                  <c:v>1619.9336106415008</c:v>
                </c:pt>
                <c:pt idx="363">
                  <c:v>1594.5760305610518</c:v>
                </c:pt>
                <c:pt idx="364">
                  <c:v>1631.9728544337872</c:v>
                </c:pt>
                <c:pt idx="365">
                  <c:v>1637.5946888513201</c:v>
                </c:pt>
                <c:pt idx="366">
                  <c:v>1599.5168253815846</c:v>
                </c:pt>
                <c:pt idx="367">
                  <c:v>1628.228165411007</c:v>
                </c:pt>
                <c:pt idx="368">
                  <c:v>1520.4809113448302</c:v>
                </c:pt>
                <c:pt idx="369">
                  <c:v>1464.3987065048541</c:v>
                </c:pt>
                <c:pt idx="370">
                  <c:v>1580.4439445429387</c:v>
                </c:pt>
                <c:pt idx="371">
                  <c:v>1572.5800975951004</c:v>
                </c:pt>
                <c:pt idx="372">
                  <c:v>1544.9383257948034</c:v>
                </c:pt>
                <c:pt idx="373">
                  <c:v>1452.5134339004089</c:v>
                </c:pt>
                <c:pt idx="374">
                  <c:v>1441.7032162489327</c:v>
                </c:pt>
                <c:pt idx="375">
                  <c:v>1539.5356174107462</c:v>
                </c:pt>
                <c:pt idx="376">
                  <c:v>1563.8966712732285</c:v>
                </c:pt>
                <c:pt idx="377">
                  <c:v>1572.6802303052334</c:v>
                </c:pt>
                <c:pt idx="378">
                  <c:v>1555.0579020825546</c:v>
                </c:pt>
                <c:pt idx="379">
                  <c:v>1620.7566192179363</c:v>
                </c:pt>
                <c:pt idx="380">
                  <c:v>1622.1036099213684</c:v>
                </c:pt>
                <c:pt idx="381">
                  <c:v>1630.7201667964048</c:v>
                </c:pt>
                <c:pt idx="382">
                  <c:v>1599.1608741722762</c:v>
                </c:pt>
                <c:pt idx="383">
                  <c:v>1622.1553908776357</c:v>
                </c:pt>
                <c:pt idx="384">
                  <c:v>1660.9708757840012</c:v>
                </c:pt>
                <c:pt idx="385">
                  <c:v>1701.0585947814398</c:v>
                </c:pt>
                <c:pt idx="386">
                  <c:v>1748.2519640756757</c:v>
                </c:pt>
                <c:pt idx="387">
                  <c:v>1766.8742477187232</c:v>
                </c:pt>
                <c:pt idx="388">
                  <c:v>1793.0359757623974</c:v>
                </c:pt>
                <c:pt idx="389">
                  <c:v>1830.9667264490954</c:v>
                </c:pt>
                <c:pt idx="390">
                  <c:v>1838.0113369431403</c:v>
                </c:pt>
                <c:pt idx="391">
                  <c:v>1881.9994307524012</c:v>
                </c:pt>
                <c:pt idx="392">
                  <c:v>1884.6495183685224</c:v>
                </c:pt>
                <c:pt idx="393">
                  <c:v>1926.9490729151307</c:v>
                </c:pt>
                <c:pt idx="394">
                  <c:v>1963.3654878211876</c:v>
                </c:pt>
                <c:pt idx="395">
                  <c:v>2005.9068011371232</c:v>
                </c:pt>
                <c:pt idx="396">
                  <c:v>2033.0338496569084</c:v>
                </c:pt>
                <c:pt idx="397">
                  <c:v>2140.3781724408718</c:v>
                </c:pt>
                <c:pt idx="398">
                  <c:v>2051.7079142562229</c:v>
                </c:pt>
                <c:pt idx="399">
                  <c:v>2006.9880286544151</c:v>
                </c:pt>
                <c:pt idx="400">
                  <c:v>2030.0504435673304</c:v>
                </c:pt>
                <c:pt idx="401">
                  <c:v>2042.7717557173378</c:v>
                </c:pt>
                <c:pt idx="402">
                  <c:v>2041.7971763947421</c:v>
                </c:pt>
                <c:pt idx="403">
                  <c:v>2105.569710541025</c:v>
                </c:pt>
                <c:pt idx="404">
                  <c:v>2131.6217041078417</c:v>
                </c:pt>
                <c:pt idx="405">
                  <c:v>2143.4908594609979</c:v>
                </c:pt>
                <c:pt idx="406">
                  <c:v>1986.0990422237692</c:v>
                </c:pt>
                <c:pt idx="407">
                  <c:v>2008.6607935860197</c:v>
                </c:pt>
                <c:pt idx="408">
                  <c:v>1855.9261761306939</c:v>
                </c:pt>
                <c:pt idx="409">
                  <c:v>2000.3281746698533</c:v>
                </c:pt>
                <c:pt idx="410">
                  <c:v>2060.4777564786204</c:v>
                </c:pt>
                <c:pt idx="411">
                  <c:v>2087.5410218337315</c:v>
                </c:pt>
                <c:pt idx="412">
                  <c:v>2161.5637848792749</c:v>
                </c:pt>
                <c:pt idx="413">
                  <c:v>2036.8395784824409</c:v>
                </c:pt>
                <c:pt idx="414">
                  <c:v>2171.0568458882149</c:v>
                </c:pt>
                <c:pt idx="415">
                  <c:v>2181.8108246203014</c:v>
                </c:pt>
                <c:pt idx="416">
                  <c:v>2137.1828416428621</c:v>
                </c:pt>
                <c:pt idx="417">
                  <c:v>2182.6643530981128</c:v>
                </c:pt>
                <c:pt idx="418">
                  <c:v>2238.2074873205243</c:v>
                </c:pt>
                <c:pt idx="419">
                  <c:v>2300.5421568997267</c:v>
                </c:pt>
                <c:pt idx="420">
                  <c:v>2369.4622667713716</c:v>
                </c:pt>
                <c:pt idx="421">
                  <c:v>2355.0400702300653</c:v>
                </c:pt>
                <c:pt idx="422">
                  <c:v>2155.9796716881619</c:v>
                </c:pt>
                <c:pt idx="423">
                  <c:v>1870.6515141643206</c:v>
                </c:pt>
                <c:pt idx="424">
                  <c:v>2075.0093445765451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0-482F-A17B-BE107635C5A9}"/>
            </c:ext>
          </c:extLst>
        </c:ser>
        <c:ser>
          <c:idx val="1"/>
          <c:order val="1"/>
          <c:tx>
            <c:v>MSCI World Index: Real (Inflation-Adjusted)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60-482F-A17B-BE107635C5A9}"/>
                </c:ext>
              </c:extLst>
            </c:dLbl>
            <c:dLbl>
              <c:idx val="4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60-482F-A17B-BE107635C5A9}"/>
                </c:ext>
              </c:extLst>
            </c:dLbl>
            <c:dLbl>
              <c:idx val="42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71-4E29-90E0-83B1F22C92A7}"/>
                </c:ext>
              </c:extLst>
            </c:dLbl>
            <c:dLbl>
              <c:idx val="424"/>
              <c:layout>
                <c:manualLayout>
                  <c:x val="-4.6566666666666666E-2"/>
                  <c:y val="-3.527777777777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60-482F-A17B-BE107635C5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'nominal vs real'!$B$3:$B$427</c:f>
              <c:numCache>
                <c:formatCode>m/d/yyyy</c:formatCode>
                <c:ptCount val="425"/>
                <c:pt idx="0">
                  <c:v>31047</c:v>
                </c:pt>
                <c:pt idx="1">
                  <c:v>31078</c:v>
                </c:pt>
                <c:pt idx="2">
                  <c:v>31106</c:v>
                </c:pt>
                <c:pt idx="3">
                  <c:v>31135</c:v>
                </c:pt>
                <c:pt idx="4">
                  <c:v>31167</c:v>
                </c:pt>
                <c:pt idx="5">
                  <c:v>31198</c:v>
                </c:pt>
                <c:pt idx="6">
                  <c:v>31226</c:v>
                </c:pt>
                <c:pt idx="7">
                  <c:v>31259</c:v>
                </c:pt>
                <c:pt idx="8">
                  <c:v>31289</c:v>
                </c:pt>
                <c:pt idx="9">
                  <c:v>31320</c:v>
                </c:pt>
                <c:pt idx="10">
                  <c:v>31351</c:v>
                </c:pt>
                <c:pt idx="11">
                  <c:v>31380</c:v>
                </c:pt>
                <c:pt idx="12">
                  <c:v>31412</c:v>
                </c:pt>
                <c:pt idx="13">
                  <c:v>31443</c:v>
                </c:pt>
                <c:pt idx="14">
                  <c:v>31471</c:v>
                </c:pt>
                <c:pt idx="15">
                  <c:v>31502</c:v>
                </c:pt>
                <c:pt idx="16">
                  <c:v>31532</c:v>
                </c:pt>
                <c:pt idx="17">
                  <c:v>31562</c:v>
                </c:pt>
                <c:pt idx="18">
                  <c:v>31593</c:v>
                </c:pt>
                <c:pt idx="19">
                  <c:v>31624</c:v>
                </c:pt>
                <c:pt idx="20">
                  <c:v>31653</c:v>
                </c:pt>
                <c:pt idx="21">
                  <c:v>31685</c:v>
                </c:pt>
                <c:pt idx="22">
                  <c:v>31716</c:v>
                </c:pt>
                <c:pt idx="23">
                  <c:v>31744</c:v>
                </c:pt>
                <c:pt idx="24">
                  <c:v>31777</c:v>
                </c:pt>
                <c:pt idx="25">
                  <c:v>31807</c:v>
                </c:pt>
                <c:pt idx="26">
                  <c:v>31835</c:v>
                </c:pt>
                <c:pt idx="27">
                  <c:v>31867</c:v>
                </c:pt>
                <c:pt idx="28">
                  <c:v>31897</c:v>
                </c:pt>
                <c:pt idx="29">
                  <c:v>31926</c:v>
                </c:pt>
                <c:pt idx="30">
                  <c:v>31958</c:v>
                </c:pt>
                <c:pt idx="31">
                  <c:v>31989</c:v>
                </c:pt>
                <c:pt idx="32">
                  <c:v>32020</c:v>
                </c:pt>
                <c:pt idx="33">
                  <c:v>32050</c:v>
                </c:pt>
                <c:pt idx="34">
                  <c:v>32080</c:v>
                </c:pt>
                <c:pt idx="35">
                  <c:v>32111</c:v>
                </c:pt>
                <c:pt idx="36">
                  <c:v>32142</c:v>
                </c:pt>
                <c:pt idx="37">
                  <c:v>32171</c:v>
                </c:pt>
                <c:pt idx="38">
                  <c:v>32202</c:v>
                </c:pt>
                <c:pt idx="39">
                  <c:v>32233</c:v>
                </c:pt>
                <c:pt idx="40">
                  <c:v>32262</c:v>
                </c:pt>
                <c:pt idx="41">
                  <c:v>32294</c:v>
                </c:pt>
                <c:pt idx="42">
                  <c:v>32324</c:v>
                </c:pt>
                <c:pt idx="43">
                  <c:v>32353</c:v>
                </c:pt>
                <c:pt idx="44">
                  <c:v>32386</c:v>
                </c:pt>
                <c:pt idx="45">
                  <c:v>32416</c:v>
                </c:pt>
                <c:pt idx="46">
                  <c:v>32447</c:v>
                </c:pt>
                <c:pt idx="47">
                  <c:v>32477</c:v>
                </c:pt>
                <c:pt idx="48">
                  <c:v>32507</c:v>
                </c:pt>
                <c:pt idx="49">
                  <c:v>32539</c:v>
                </c:pt>
                <c:pt idx="50">
                  <c:v>32567</c:v>
                </c:pt>
                <c:pt idx="51">
                  <c:v>32598</c:v>
                </c:pt>
                <c:pt idx="52">
                  <c:v>32626</c:v>
                </c:pt>
                <c:pt idx="53">
                  <c:v>32659</c:v>
                </c:pt>
                <c:pt idx="54">
                  <c:v>32689</c:v>
                </c:pt>
                <c:pt idx="55">
                  <c:v>32720</c:v>
                </c:pt>
                <c:pt idx="56">
                  <c:v>32751</c:v>
                </c:pt>
                <c:pt idx="57">
                  <c:v>32780</c:v>
                </c:pt>
                <c:pt idx="58">
                  <c:v>32812</c:v>
                </c:pt>
                <c:pt idx="59">
                  <c:v>32842</c:v>
                </c:pt>
                <c:pt idx="60">
                  <c:v>32871</c:v>
                </c:pt>
                <c:pt idx="61">
                  <c:v>32904</c:v>
                </c:pt>
                <c:pt idx="62">
                  <c:v>32932</c:v>
                </c:pt>
                <c:pt idx="63">
                  <c:v>32962</c:v>
                </c:pt>
                <c:pt idx="64">
                  <c:v>32993</c:v>
                </c:pt>
                <c:pt idx="65">
                  <c:v>33024</c:v>
                </c:pt>
                <c:pt idx="66">
                  <c:v>33053</c:v>
                </c:pt>
                <c:pt idx="67">
                  <c:v>33085</c:v>
                </c:pt>
                <c:pt idx="68">
                  <c:v>33116</c:v>
                </c:pt>
                <c:pt idx="69">
                  <c:v>33144</c:v>
                </c:pt>
                <c:pt idx="70">
                  <c:v>33177</c:v>
                </c:pt>
                <c:pt idx="71">
                  <c:v>33207</c:v>
                </c:pt>
                <c:pt idx="72">
                  <c:v>33238</c:v>
                </c:pt>
                <c:pt idx="73">
                  <c:v>33269</c:v>
                </c:pt>
                <c:pt idx="74">
                  <c:v>33297</c:v>
                </c:pt>
                <c:pt idx="75">
                  <c:v>33326</c:v>
                </c:pt>
                <c:pt idx="76">
                  <c:v>33358</c:v>
                </c:pt>
                <c:pt idx="77">
                  <c:v>33389</c:v>
                </c:pt>
                <c:pt idx="78">
                  <c:v>33417</c:v>
                </c:pt>
                <c:pt idx="79">
                  <c:v>33450</c:v>
                </c:pt>
                <c:pt idx="80">
                  <c:v>33480</c:v>
                </c:pt>
                <c:pt idx="81">
                  <c:v>33511</c:v>
                </c:pt>
                <c:pt idx="82">
                  <c:v>33542</c:v>
                </c:pt>
                <c:pt idx="83">
                  <c:v>33571</c:v>
                </c:pt>
                <c:pt idx="84">
                  <c:v>33603</c:v>
                </c:pt>
                <c:pt idx="85">
                  <c:v>33634</c:v>
                </c:pt>
                <c:pt idx="86">
                  <c:v>33662</c:v>
                </c:pt>
                <c:pt idx="87">
                  <c:v>33694</c:v>
                </c:pt>
                <c:pt idx="88">
                  <c:v>33724</c:v>
                </c:pt>
                <c:pt idx="89">
                  <c:v>33753</c:v>
                </c:pt>
                <c:pt idx="90">
                  <c:v>33785</c:v>
                </c:pt>
                <c:pt idx="91">
                  <c:v>33816</c:v>
                </c:pt>
                <c:pt idx="92">
                  <c:v>33847</c:v>
                </c:pt>
                <c:pt idx="93">
                  <c:v>33877</c:v>
                </c:pt>
                <c:pt idx="94">
                  <c:v>33907</c:v>
                </c:pt>
                <c:pt idx="95">
                  <c:v>33938</c:v>
                </c:pt>
                <c:pt idx="96">
                  <c:v>33969</c:v>
                </c:pt>
                <c:pt idx="97">
                  <c:v>33998</c:v>
                </c:pt>
                <c:pt idx="98">
                  <c:v>34026</c:v>
                </c:pt>
                <c:pt idx="99">
                  <c:v>34059</c:v>
                </c:pt>
                <c:pt idx="100">
                  <c:v>34089</c:v>
                </c:pt>
                <c:pt idx="101">
                  <c:v>34120</c:v>
                </c:pt>
                <c:pt idx="102">
                  <c:v>34150</c:v>
                </c:pt>
                <c:pt idx="103">
                  <c:v>34180</c:v>
                </c:pt>
                <c:pt idx="104">
                  <c:v>34212</c:v>
                </c:pt>
                <c:pt idx="105">
                  <c:v>34242</c:v>
                </c:pt>
                <c:pt idx="106">
                  <c:v>34271</c:v>
                </c:pt>
                <c:pt idx="107">
                  <c:v>34303</c:v>
                </c:pt>
                <c:pt idx="108">
                  <c:v>34334</c:v>
                </c:pt>
                <c:pt idx="109">
                  <c:v>34365</c:v>
                </c:pt>
                <c:pt idx="110">
                  <c:v>34393</c:v>
                </c:pt>
                <c:pt idx="111">
                  <c:v>34424</c:v>
                </c:pt>
                <c:pt idx="112">
                  <c:v>34453</c:v>
                </c:pt>
                <c:pt idx="113">
                  <c:v>34485</c:v>
                </c:pt>
                <c:pt idx="114">
                  <c:v>34515</c:v>
                </c:pt>
                <c:pt idx="115">
                  <c:v>34544</c:v>
                </c:pt>
                <c:pt idx="116">
                  <c:v>34577</c:v>
                </c:pt>
                <c:pt idx="117">
                  <c:v>34607</c:v>
                </c:pt>
                <c:pt idx="118">
                  <c:v>34638</c:v>
                </c:pt>
                <c:pt idx="119">
                  <c:v>34668</c:v>
                </c:pt>
                <c:pt idx="120">
                  <c:v>34698</c:v>
                </c:pt>
                <c:pt idx="121">
                  <c:v>34730</c:v>
                </c:pt>
                <c:pt idx="122">
                  <c:v>34758</c:v>
                </c:pt>
                <c:pt idx="123">
                  <c:v>34789</c:v>
                </c:pt>
                <c:pt idx="124">
                  <c:v>34817</c:v>
                </c:pt>
                <c:pt idx="125">
                  <c:v>34850</c:v>
                </c:pt>
                <c:pt idx="126">
                  <c:v>34880</c:v>
                </c:pt>
                <c:pt idx="127">
                  <c:v>34911</c:v>
                </c:pt>
                <c:pt idx="128">
                  <c:v>34942</c:v>
                </c:pt>
                <c:pt idx="129">
                  <c:v>34971</c:v>
                </c:pt>
                <c:pt idx="130">
                  <c:v>35003</c:v>
                </c:pt>
                <c:pt idx="131">
                  <c:v>35033</c:v>
                </c:pt>
                <c:pt idx="132">
                  <c:v>35062</c:v>
                </c:pt>
                <c:pt idx="133">
                  <c:v>35095</c:v>
                </c:pt>
                <c:pt idx="134">
                  <c:v>35124</c:v>
                </c:pt>
                <c:pt idx="135">
                  <c:v>35153</c:v>
                </c:pt>
                <c:pt idx="136">
                  <c:v>35185</c:v>
                </c:pt>
                <c:pt idx="137">
                  <c:v>35216</c:v>
                </c:pt>
                <c:pt idx="138">
                  <c:v>35244</c:v>
                </c:pt>
                <c:pt idx="139">
                  <c:v>35277</c:v>
                </c:pt>
                <c:pt idx="140">
                  <c:v>35307</c:v>
                </c:pt>
                <c:pt idx="141">
                  <c:v>35338</c:v>
                </c:pt>
                <c:pt idx="142">
                  <c:v>35369</c:v>
                </c:pt>
                <c:pt idx="143">
                  <c:v>35398</c:v>
                </c:pt>
                <c:pt idx="144">
                  <c:v>35430</c:v>
                </c:pt>
                <c:pt idx="145">
                  <c:v>35461</c:v>
                </c:pt>
                <c:pt idx="146">
                  <c:v>35489</c:v>
                </c:pt>
                <c:pt idx="147">
                  <c:v>35520</c:v>
                </c:pt>
                <c:pt idx="148">
                  <c:v>35550</c:v>
                </c:pt>
                <c:pt idx="149">
                  <c:v>35580</c:v>
                </c:pt>
                <c:pt idx="150">
                  <c:v>35611</c:v>
                </c:pt>
                <c:pt idx="151">
                  <c:v>35642</c:v>
                </c:pt>
                <c:pt idx="152">
                  <c:v>35671</c:v>
                </c:pt>
                <c:pt idx="153">
                  <c:v>35703</c:v>
                </c:pt>
                <c:pt idx="154">
                  <c:v>35734</c:v>
                </c:pt>
                <c:pt idx="155">
                  <c:v>35762</c:v>
                </c:pt>
                <c:pt idx="156">
                  <c:v>35795</c:v>
                </c:pt>
                <c:pt idx="157">
                  <c:v>35825</c:v>
                </c:pt>
                <c:pt idx="158">
                  <c:v>35853</c:v>
                </c:pt>
                <c:pt idx="159">
                  <c:v>35885</c:v>
                </c:pt>
                <c:pt idx="160">
                  <c:v>35915</c:v>
                </c:pt>
                <c:pt idx="161">
                  <c:v>35944</c:v>
                </c:pt>
                <c:pt idx="162">
                  <c:v>35976</c:v>
                </c:pt>
                <c:pt idx="163">
                  <c:v>36007</c:v>
                </c:pt>
                <c:pt idx="164">
                  <c:v>36038</c:v>
                </c:pt>
                <c:pt idx="165">
                  <c:v>36068</c:v>
                </c:pt>
                <c:pt idx="166">
                  <c:v>36098</c:v>
                </c:pt>
                <c:pt idx="167">
                  <c:v>36129</c:v>
                </c:pt>
                <c:pt idx="168">
                  <c:v>36160</c:v>
                </c:pt>
                <c:pt idx="169">
                  <c:v>36189</c:v>
                </c:pt>
                <c:pt idx="170">
                  <c:v>36217</c:v>
                </c:pt>
                <c:pt idx="171">
                  <c:v>36250</c:v>
                </c:pt>
                <c:pt idx="172">
                  <c:v>36280</c:v>
                </c:pt>
                <c:pt idx="173">
                  <c:v>36311</c:v>
                </c:pt>
                <c:pt idx="174">
                  <c:v>36341</c:v>
                </c:pt>
                <c:pt idx="175">
                  <c:v>36371</c:v>
                </c:pt>
                <c:pt idx="176">
                  <c:v>36403</c:v>
                </c:pt>
                <c:pt idx="177">
                  <c:v>36433</c:v>
                </c:pt>
                <c:pt idx="178">
                  <c:v>36462</c:v>
                </c:pt>
                <c:pt idx="179">
                  <c:v>36494</c:v>
                </c:pt>
                <c:pt idx="180">
                  <c:v>36525</c:v>
                </c:pt>
                <c:pt idx="181">
                  <c:v>36556</c:v>
                </c:pt>
                <c:pt idx="182">
                  <c:v>36585</c:v>
                </c:pt>
                <c:pt idx="183">
                  <c:v>36616</c:v>
                </c:pt>
                <c:pt idx="184">
                  <c:v>36644</c:v>
                </c:pt>
                <c:pt idx="185">
                  <c:v>36677</c:v>
                </c:pt>
                <c:pt idx="186">
                  <c:v>36707</c:v>
                </c:pt>
                <c:pt idx="187">
                  <c:v>36738</c:v>
                </c:pt>
                <c:pt idx="188">
                  <c:v>36769</c:v>
                </c:pt>
                <c:pt idx="189">
                  <c:v>36798</c:v>
                </c:pt>
                <c:pt idx="190">
                  <c:v>36830</c:v>
                </c:pt>
                <c:pt idx="191">
                  <c:v>36860</c:v>
                </c:pt>
                <c:pt idx="192">
                  <c:v>36889</c:v>
                </c:pt>
                <c:pt idx="193">
                  <c:v>36922</c:v>
                </c:pt>
                <c:pt idx="194">
                  <c:v>36950</c:v>
                </c:pt>
                <c:pt idx="195">
                  <c:v>36980</c:v>
                </c:pt>
                <c:pt idx="196">
                  <c:v>37011</c:v>
                </c:pt>
                <c:pt idx="197">
                  <c:v>37042</c:v>
                </c:pt>
                <c:pt idx="198">
                  <c:v>37071</c:v>
                </c:pt>
                <c:pt idx="199">
                  <c:v>37103</c:v>
                </c:pt>
                <c:pt idx="200">
                  <c:v>37134</c:v>
                </c:pt>
                <c:pt idx="201">
                  <c:v>37162</c:v>
                </c:pt>
                <c:pt idx="202">
                  <c:v>37195</c:v>
                </c:pt>
                <c:pt idx="203">
                  <c:v>37225</c:v>
                </c:pt>
                <c:pt idx="204">
                  <c:v>37256</c:v>
                </c:pt>
                <c:pt idx="205">
                  <c:v>37287</c:v>
                </c:pt>
                <c:pt idx="206">
                  <c:v>37315</c:v>
                </c:pt>
                <c:pt idx="207">
                  <c:v>37344</c:v>
                </c:pt>
                <c:pt idx="208">
                  <c:v>37376</c:v>
                </c:pt>
                <c:pt idx="209">
                  <c:v>37407</c:v>
                </c:pt>
                <c:pt idx="210">
                  <c:v>37435</c:v>
                </c:pt>
                <c:pt idx="211">
                  <c:v>37468</c:v>
                </c:pt>
                <c:pt idx="212">
                  <c:v>37498</c:v>
                </c:pt>
                <c:pt idx="213">
                  <c:v>37529</c:v>
                </c:pt>
                <c:pt idx="214">
                  <c:v>37560</c:v>
                </c:pt>
                <c:pt idx="215">
                  <c:v>37589</c:v>
                </c:pt>
                <c:pt idx="216">
                  <c:v>37621</c:v>
                </c:pt>
                <c:pt idx="217">
                  <c:v>37652</c:v>
                </c:pt>
                <c:pt idx="218">
                  <c:v>37680</c:v>
                </c:pt>
                <c:pt idx="219">
                  <c:v>37711</c:v>
                </c:pt>
                <c:pt idx="220">
                  <c:v>37741</c:v>
                </c:pt>
                <c:pt idx="221">
                  <c:v>37771</c:v>
                </c:pt>
                <c:pt idx="222">
                  <c:v>37802</c:v>
                </c:pt>
                <c:pt idx="223">
                  <c:v>37833</c:v>
                </c:pt>
                <c:pt idx="224">
                  <c:v>37862</c:v>
                </c:pt>
                <c:pt idx="225">
                  <c:v>37894</c:v>
                </c:pt>
                <c:pt idx="226">
                  <c:v>37925</c:v>
                </c:pt>
                <c:pt idx="227">
                  <c:v>37953</c:v>
                </c:pt>
                <c:pt idx="228">
                  <c:v>37986</c:v>
                </c:pt>
                <c:pt idx="229">
                  <c:v>38016</c:v>
                </c:pt>
                <c:pt idx="230">
                  <c:v>38044</c:v>
                </c:pt>
                <c:pt idx="231">
                  <c:v>38077</c:v>
                </c:pt>
                <c:pt idx="232">
                  <c:v>38107</c:v>
                </c:pt>
                <c:pt idx="233">
                  <c:v>38138</c:v>
                </c:pt>
                <c:pt idx="234">
                  <c:v>38168</c:v>
                </c:pt>
                <c:pt idx="235">
                  <c:v>38198</c:v>
                </c:pt>
                <c:pt idx="236">
                  <c:v>38230</c:v>
                </c:pt>
                <c:pt idx="237">
                  <c:v>38260</c:v>
                </c:pt>
                <c:pt idx="238">
                  <c:v>38289</c:v>
                </c:pt>
                <c:pt idx="239">
                  <c:v>38321</c:v>
                </c:pt>
                <c:pt idx="240">
                  <c:v>38352</c:v>
                </c:pt>
                <c:pt idx="241">
                  <c:v>38383</c:v>
                </c:pt>
                <c:pt idx="242">
                  <c:v>38411</c:v>
                </c:pt>
                <c:pt idx="243">
                  <c:v>38442</c:v>
                </c:pt>
                <c:pt idx="244">
                  <c:v>38471</c:v>
                </c:pt>
                <c:pt idx="245">
                  <c:v>38503</c:v>
                </c:pt>
                <c:pt idx="246">
                  <c:v>38533</c:v>
                </c:pt>
                <c:pt idx="247">
                  <c:v>38562</c:v>
                </c:pt>
                <c:pt idx="248">
                  <c:v>38595</c:v>
                </c:pt>
                <c:pt idx="249">
                  <c:v>38625</c:v>
                </c:pt>
                <c:pt idx="250">
                  <c:v>38656</c:v>
                </c:pt>
                <c:pt idx="251">
                  <c:v>38686</c:v>
                </c:pt>
                <c:pt idx="252">
                  <c:v>38716</c:v>
                </c:pt>
                <c:pt idx="253">
                  <c:v>38748</c:v>
                </c:pt>
                <c:pt idx="254">
                  <c:v>38776</c:v>
                </c:pt>
                <c:pt idx="255">
                  <c:v>38807</c:v>
                </c:pt>
                <c:pt idx="256">
                  <c:v>38835</c:v>
                </c:pt>
                <c:pt idx="257">
                  <c:v>38868</c:v>
                </c:pt>
                <c:pt idx="258">
                  <c:v>38898</c:v>
                </c:pt>
                <c:pt idx="259">
                  <c:v>38929</c:v>
                </c:pt>
                <c:pt idx="260">
                  <c:v>38960</c:v>
                </c:pt>
                <c:pt idx="261">
                  <c:v>38989</c:v>
                </c:pt>
                <c:pt idx="262">
                  <c:v>39021</c:v>
                </c:pt>
                <c:pt idx="263">
                  <c:v>39051</c:v>
                </c:pt>
                <c:pt idx="264">
                  <c:v>39080</c:v>
                </c:pt>
                <c:pt idx="265">
                  <c:v>39113</c:v>
                </c:pt>
                <c:pt idx="266">
                  <c:v>39141</c:v>
                </c:pt>
                <c:pt idx="267">
                  <c:v>39171</c:v>
                </c:pt>
                <c:pt idx="268">
                  <c:v>39202</c:v>
                </c:pt>
                <c:pt idx="269">
                  <c:v>39233</c:v>
                </c:pt>
                <c:pt idx="270">
                  <c:v>39262</c:v>
                </c:pt>
                <c:pt idx="271">
                  <c:v>39294</c:v>
                </c:pt>
                <c:pt idx="272">
                  <c:v>39325</c:v>
                </c:pt>
                <c:pt idx="273">
                  <c:v>39353</c:v>
                </c:pt>
                <c:pt idx="274">
                  <c:v>39386</c:v>
                </c:pt>
                <c:pt idx="275">
                  <c:v>39416</c:v>
                </c:pt>
                <c:pt idx="276">
                  <c:v>39447</c:v>
                </c:pt>
                <c:pt idx="277">
                  <c:v>39478</c:v>
                </c:pt>
                <c:pt idx="278">
                  <c:v>39507</c:v>
                </c:pt>
                <c:pt idx="279">
                  <c:v>39538</c:v>
                </c:pt>
                <c:pt idx="280">
                  <c:v>39568</c:v>
                </c:pt>
                <c:pt idx="281">
                  <c:v>39598</c:v>
                </c:pt>
                <c:pt idx="282">
                  <c:v>39629</c:v>
                </c:pt>
                <c:pt idx="283">
                  <c:v>39660</c:v>
                </c:pt>
                <c:pt idx="284">
                  <c:v>39689</c:v>
                </c:pt>
                <c:pt idx="285">
                  <c:v>39721</c:v>
                </c:pt>
                <c:pt idx="286">
                  <c:v>39752</c:v>
                </c:pt>
                <c:pt idx="287">
                  <c:v>39780</c:v>
                </c:pt>
                <c:pt idx="288">
                  <c:v>39813</c:v>
                </c:pt>
                <c:pt idx="289">
                  <c:v>39843</c:v>
                </c:pt>
                <c:pt idx="290">
                  <c:v>39871</c:v>
                </c:pt>
                <c:pt idx="291">
                  <c:v>39903</c:v>
                </c:pt>
                <c:pt idx="292">
                  <c:v>39933</c:v>
                </c:pt>
                <c:pt idx="293">
                  <c:v>39962</c:v>
                </c:pt>
                <c:pt idx="294">
                  <c:v>39994</c:v>
                </c:pt>
                <c:pt idx="295">
                  <c:v>40025</c:v>
                </c:pt>
                <c:pt idx="296">
                  <c:v>40056</c:v>
                </c:pt>
                <c:pt idx="297">
                  <c:v>40086</c:v>
                </c:pt>
                <c:pt idx="298">
                  <c:v>40116</c:v>
                </c:pt>
                <c:pt idx="299">
                  <c:v>40147</c:v>
                </c:pt>
                <c:pt idx="300">
                  <c:v>40178</c:v>
                </c:pt>
                <c:pt idx="301">
                  <c:v>40207</c:v>
                </c:pt>
                <c:pt idx="302">
                  <c:v>40235</c:v>
                </c:pt>
                <c:pt idx="303">
                  <c:v>40268</c:v>
                </c:pt>
                <c:pt idx="304">
                  <c:v>40298</c:v>
                </c:pt>
                <c:pt idx="305">
                  <c:v>40329</c:v>
                </c:pt>
                <c:pt idx="306">
                  <c:v>40359</c:v>
                </c:pt>
                <c:pt idx="307">
                  <c:v>40389</c:v>
                </c:pt>
                <c:pt idx="308">
                  <c:v>40421</c:v>
                </c:pt>
                <c:pt idx="309">
                  <c:v>40451</c:v>
                </c:pt>
                <c:pt idx="310">
                  <c:v>40480</c:v>
                </c:pt>
                <c:pt idx="311">
                  <c:v>40512</c:v>
                </c:pt>
                <c:pt idx="312">
                  <c:v>40543</c:v>
                </c:pt>
                <c:pt idx="313">
                  <c:v>40574</c:v>
                </c:pt>
                <c:pt idx="314">
                  <c:v>40602</c:v>
                </c:pt>
                <c:pt idx="315">
                  <c:v>40633</c:v>
                </c:pt>
                <c:pt idx="316">
                  <c:v>40662</c:v>
                </c:pt>
                <c:pt idx="317">
                  <c:v>40694</c:v>
                </c:pt>
                <c:pt idx="318">
                  <c:v>40724</c:v>
                </c:pt>
                <c:pt idx="319">
                  <c:v>40753</c:v>
                </c:pt>
                <c:pt idx="320">
                  <c:v>40786</c:v>
                </c:pt>
                <c:pt idx="321">
                  <c:v>40816</c:v>
                </c:pt>
                <c:pt idx="322">
                  <c:v>40847</c:v>
                </c:pt>
                <c:pt idx="323">
                  <c:v>40877</c:v>
                </c:pt>
                <c:pt idx="324">
                  <c:v>40907</c:v>
                </c:pt>
                <c:pt idx="325">
                  <c:v>40939</c:v>
                </c:pt>
                <c:pt idx="326">
                  <c:v>40968</c:v>
                </c:pt>
                <c:pt idx="327">
                  <c:v>40998</c:v>
                </c:pt>
                <c:pt idx="328">
                  <c:v>41029</c:v>
                </c:pt>
                <c:pt idx="329">
                  <c:v>41060</c:v>
                </c:pt>
                <c:pt idx="330">
                  <c:v>41089</c:v>
                </c:pt>
                <c:pt idx="331">
                  <c:v>41121</c:v>
                </c:pt>
                <c:pt idx="332">
                  <c:v>41152</c:v>
                </c:pt>
                <c:pt idx="333">
                  <c:v>41180</c:v>
                </c:pt>
                <c:pt idx="334">
                  <c:v>41213</c:v>
                </c:pt>
                <c:pt idx="335">
                  <c:v>41243</c:v>
                </c:pt>
                <c:pt idx="336">
                  <c:v>41274</c:v>
                </c:pt>
                <c:pt idx="337">
                  <c:v>41305</c:v>
                </c:pt>
                <c:pt idx="338">
                  <c:v>41333</c:v>
                </c:pt>
                <c:pt idx="339">
                  <c:v>41362</c:v>
                </c:pt>
                <c:pt idx="340">
                  <c:v>41394</c:v>
                </c:pt>
                <c:pt idx="341">
                  <c:v>41425</c:v>
                </c:pt>
                <c:pt idx="342">
                  <c:v>41453</c:v>
                </c:pt>
                <c:pt idx="343">
                  <c:v>41486</c:v>
                </c:pt>
                <c:pt idx="344">
                  <c:v>41516</c:v>
                </c:pt>
                <c:pt idx="345">
                  <c:v>41547</c:v>
                </c:pt>
                <c:pt idx="346">
                  <c:v>41578</c:v>
                </c:pt>
                <c:pt idx="347">
                  <c:v>41607</c:v>
                </c:pt>
                <c:pt idx="348">
                  <c:v>41639</c:v>
                </c:pt>
                <c:pt idx="349">
                  <c:v>41670</c:v>
                </c:pt>
                <c:pt idx="350">
                  <c:v>41698</c:v>
                </c:pt>
                <c:pt idx="351">
                  <c:v>41729</c:v>
                </c:pt>
                <c:pt idx="352">
                  <c:v>41759</c:v>
                </c:pt>
                <c:pt idx="353">
                  <c:v>41789</c:v>
                </c:pt>
                <c:pt idx="354">
                  <c:v>41820</c:v>
                </c:pt>
                <c:pt idx="355">
                  <c:v>41851</c:v>
                </c:pt>
                <c:pt idx="356">
                  <c:v>41880</c:v>
                </c:pt>
                <c:pt idx="357">
                  <c:v>41912</c:v>
                </c:pt>
                <c:pt idx="358">
                  <c:v>41943</c:v>
                </c:pt>
                <c:pt idx="359">
                  <c:v>41971</c:v>
                </c:pt>
                <c:pt idx="360">
                  <c:v>42004</c:v>
                </c:pt>
                <c:pt idx="361">
                  <c:v>42034</c:v>
                </c:pt>
                <c:pt idx="362">
                  <c:v>42062</c:v>
                </c:pt>
                <c:pt idx="363">
                  <c:v>42094</c:v>
                </c:pt>
                <c:pt idx="364">
                  <c:v>42124</c:v>
                </c:pt>
                <c:pt idx="365">
                  <c:v>42153</c:v>
                </c:pt>
                <c:pt idx="366">
                  <c:v>42185</c:v>
                </c:pt>
                <c:pt idx="367">
                  <c:v>42216</c:v>
                </c:pt>
                <c:pt idx="368">
                  <c:v>42247</c:v>
                </c:pt>
                <c:pt idx="369">
                  <c:v>42277</c:v>
                </c:pt>
                <c:pt idx="370">
                  <c:v>42307</c:v>
                </c:pt>
                <c:pt idx="371">
                  <c:v>42338</c:v>
                </c:pt>
                <c:pt idx="372">
                  <c:v>42369</c:v>
                </c:pt>
                <c:pt idx="373">
                  <c:v>42398</c:v>
                </c:pt>
                <c:pt idx="374">
                  <c:v>42429</c:v>
                </c:pt>
                <c:pt idx="375">
                  <c:v>42460</c:v>
                </c:pt>
                <c:pt idx="376">
                  <c:v>42489</c:v>
                </c:pt>
                <c:pt idx="377">
                  <c:v>42521</c:v>
                </c:pt>
                <c:pt idx="378">
                  <c:v>42551</c:v>
                </c:pt>
                <c:pt idx="379">
                  <c:v>42580</c:v>
                </c:pt>
                <c:pt idx="380">
                  <c:v>42613</c:v>
                </c:pt>
                <c:pt idx="381">
                  <c:v>42643</c:v>
                </c:pt>
                <c:pt idx="382">
                  <c:v>42674</c:v>
                </c:pt>
                <c:pt idx="383">
                  <c:v>42704</c:v>
                </c:pt>
                <c:pt idx="384">
                  <c:v>42734</c:v>
                </c:pt>
                <c:pt idx="385">
                  <c:v>42766</c:v>
                </c:pt>
                <c:pt idx="386">
                  <c:v>42794</c:v>
                </c:pt>
                <c:pt idx="387">
                  <c:v>42825</c:v>
                </c:pt>
                <c:pt idx="388">
                  <c:v>42853</c:v>
                </c:pt>
                <c:pt idx="389">
                  <c:v>42886</c:v>
                </c:pt>
                <c:pt idx="390">
                  <c:v>42916</c:v>
                </c:pt>
                <c:pt idx="391">
                  <c:v>42947</c:v>
                </c:pt>
                <c:pt idx="392">
                  <c:v>42978</c:v>
                </c:pt>
                <c:pt idx="393">
                  <c:v>43007</c:v>
                </c:pt>
                <c:pt idx="394">
                  <c:v>43039</c:v>
                </c:pt>
                <c:pt idx="395">
                  <c:v>43069</c:v>
                </c:pt>
                <c:pt idx="396">
                  <c:v>43098</c:v>
                </c:pt>
                <c:pt idx="397">
                  <c:v>43131</c:v>
                </c:pt>
                <c:pt idx="398">
                  <c:v>43159</c:v>
                </c:pt>
                <c:pt idx="399">
                  <c:v>43189</c:v>
                </c:pt>
                <c:pt idx="400">
                  <c:v>43220</c:v>
                </c:pt>
                <c:pt idx="401">
                  <c:v>43251</c:v>
                </c:pt>
                <c:pt idx="402">
                  <c:v>43280</c:v>
                </c:pt>
                <c:pt idx="403">
                  <c:v>43312</c:v>
                </c:pt>
                <c:pt idx="404">
                  <c:v>43343</c:v>
                </c:pt>
                <c:pt idx="405">
                  <c:v>43371</c:v>
                </c:pt>
                <c:pt idx="406">
                  <c:v>43404</c:v>
                </c:pt>
                <c:pt idx="407">
                  <c:v>43434</c:v>
                </c:pt>
                <c:pt idx="408">
                  <c:v>43465</c:v>
                </c:pt>
                <c:pt idx="409">
                  <c:v>43496</c:v>
                </c:pt>
                <c:pt idx="410">
                  <c:v>43524</c:v>
                </c:pt>
                <c:pt idx="411">
                  <c:v>43553</c:v>
                </c:pt>
                <c:pt idx="412">
                  <c:v>43585</c:v>
                </c:pt>
                <c:pt idx="413">
                  <c:v>43616</c:v>
                </c:pt>
                <c:pt idx="414">
                  <c:v>43644</c:v>
                </c:pt>
                <c:pt idx="415">
                  <c:v>43677</c:v>
                </c:pt>
                <c:pt idx="416">
                  <c:v>43707</c:v>
                </c:pt>
                <c:pt idx="417">
                  <c:v>43738</c:v>
                </c:pt>
                <c:pt idx="418">
                  <c:v>43769</c:v>
                </c:pt>
                <c:pt idx="419">
                  <c:v>43798</c:v>
                </c:pt>
                <c:pt idx="420">
                  <c:v>43830</c:v>
                </c:pt>
                <c:pt idx="421">
                  <c:v>43861</c:v>
                </c:pt>
                <c:pt idx="422">
                  <c:v>43889</c:v>
                </c:pt>
                <c:pt idx="423">
                  <c:v>43921</c:v>
                </c:pt>
                <c:pt idx="424">
                  <c:v>43951</c:v>
                </c:pt>
              </c:numCache>
            </c:numRef>
          </c:cat>
          <c:val>
            <c:numRef>
              <c:f>'nominal vs real'!$D$3:$D$427</c:f>
              <c:numCache>
                <c:formatCode>#,##0</c:formatCode>
                <c:ptCount val="425"/>
                <c:pt idx="0">
                  <c:v>100</c:v>
                </c:pt>
                <c:pt idx="1">
                  <c:v>100.84371252203455</c:v>
                </c:pt>
                <c:pt idx="2">
                  <c:v>98.429034588527728</c:v>
                </c:pt>
                <c:pt idx="3">
                  <c:v>100.27663257878247</c:v>
                </c:pt>
                <c:pt idx="4">
                  <c:v>98.884704773594606</c:v>
                </c:pt>
                <c:pt idx="5">
                  <c:v>103.61511030397384</c:v>
                </c:pt>
                <c:pt idx="6">
                  <c:v>105.28296280970443</c:v>
                </c:pt>
                <c:pt idx="7">
                  <c:v>107.07272637952212</c:v>
                </c:pt>
                <c:pt idx="8">
                  <c:v>107.09400915406981</c:v>
                </c:pt>
                <c:pt idx="9">
                  <c:v>107.74314883746054</c:v>
                </c:pt>
                <c:pt idx="10">
                  <c:v>112.40170091910902</c:v>
                </c:pt>
                <c:pt idx="11">
                  <c:v>116.84343981482461</c:v>
                </c:pt>
                <c:pt idx="12">
                  <c:v>120.31185939584034</c:v>
                </c:pt>
                <c:pt idx="13">
                  <c:v>118.94063579647862</c:v>
                </c:pt>
                <c:pt idx="14">
                  <c:v>127.96393049228739</c:v>
                </c:pt>
                <c:pt idx="15">
                  <c:v>138.83737991591806</c:v>
                </c:pt>
                <c:pt idx="16">
                  <c:v>140.80951968418515</c:v>
                </c:pt>
                <c:pt idx="17">
                  <c:v>141.00370745490582</c:v>
                </c:pt>
                <c:pt idx="18">
                  <c:v>146.15998537772796</c:v>
                </c:pt>
                <c:pt idx="19">
                  <c:v>147.30729786218322</c:v>
                </c:pt>
                <c:pt idx="20">
                  <c:v>158.65896232541459</c:v>
                </c:pt>
                <c:pt idx="21">
                  <c:v>151.68783622109956</c:v>
                </c:pt>
                <c:pt idx="22">
                  <c:v>148.10118645149004</c:v>
                </c:pt>
                <c:pt idx="23">
                  <c:v>153.02963078900228</c:v>
                </c:pt>
                <c:pt idx="24">
                  <c:v>153.48944860591692</c:v>
                </c:pt>
                <c:pt idx="25">
                  <c:v>168.9346724331601</c:v>
                </c:pt>
                <c:pt idx="26">
                  <c:v>172.47013018833616</c:v>
                </c:pt>
                <c:pt idx="27">
                  <c:v>180.67307444235024</c:v>
                </c:pt>
                <c:pt idx="28">
                  <c:v>190.26752852438662</c:v>
                </c:pt>
                <c:pt idx="29">
                  <c:v>190.28569507220422</c:v>
                </c:pt>
                <c:pt idx="30">
                  <c:v>190.64224491653022</c:v>
                </c:pt>
                <c:pt idx="31">
                  <c:v>193.80808925751236</c:v>
                </c:pt>
                <c:pt idx="32">
                  <c:v>203.04747543621076</c:v>
                </c:pt>
                <c:pt idx="33">
                  <c:v>198.91634578326892</c:v>
                </c:pt>
                <c:pt idx="34">
                  <c:v>163.27144931340655</c:v>
                </c:pt>
                <c:pt idx="35">
                  <c:v>158.66797224408839</c:v>
                </c:pt>
                <c:pt idx="36">
                  <c:v>163.27104601968352</c:v>
                </c:pt>
                <c:pt idx="37">
                  <c:v>164.84451167716986</c:v>
                </c:pt>
                <c:pt idx="38">
                  <c:v>171.98471709795865</c:v>
                </c:pt>
                <c:pt idx="39">
                  <c:v>175.94867837353493</c:v>
                </c:pt>
                <c:pt idx="40">
                  <c:v>177.45883108255398</c:v>
                </c:pt>
                <c:pt idx="41">
                  <c:v>173.28162193339247</c:v>
                </c:pt>
                <c:pt idx="42">
                  <c:v>172.09335057613654</c:v>
                </c:pt>
                <c:pt idx="43">
                  <c:v>173.8563774054675</c:v>
                </c:pt>
                <c:pt idx="44">
                  <c:v>162.13335287626765</c:v>
                </c:pt>
                <c:pt idx="45">
                  <c:v>167.25414339176291</c:v>
                </c:pt>
                <c:pt idx="46">
                  <c:v>176.77123226797877</c:v>
                </c:pt>
                <c:pt idx="47">
                  <c:v>180.33956176517484</c:v>
                </c:pt>
                <c:pt idx="48">
                  <c:v>179.79480578253336</c:v>
                </c:pt>
                <c:pt idx="49">
                  <c:v>182.99838535335809</c:v>
                </c:pt>
                <c:pt idx="50">
                  <c:v>179.39732888907909</c:v>
                </c:pt>
                <c:pt idx="51">
                  <c:v>176.69053662032144</c:v>
                </c:pt>
                <c:pt idx="52">
                  <c:v>178.89485875907721</c:v>
                </c:pt>
                <c:pt idx="53">
                  <c:v>174.15462028117688</c:v>
                </c:pt>
                <c:pt idx="54">
                  <c:v>170.99604149083842</c:v>
                </c:pt>
                <c:pt idx="55">
                  <c:v>188.51198125651618</c:v>
                </c:pt>
                <c:pt idx="56">
                  <c:v>180.92202000083302</c:v>
                </c:pt>
                <c:pt idx="57">
                  <c:v>185.58380965148433</c:v>
                </c:pt>
                <c:pt idx="58">
                  <c:v>178.46074327097759</c:v>
                </c:pt>
                <c:pt idx="59">
                  <c:v>183.81869139796709</c:v>
                </c:pt>
                <c:pt idx="60">
                  <c:v>187.70724185158127</c:v>
                </c:pt>
                <c:pt idx="61">
                  <c:v>174.69952900445244</c:v>
                </c:pt>
                <c:pt idx="62">
                  <c:v>163.51569077422906</c:v>
                </c:pt>
                <c:pt idx="63">
                  <c:v>152.69985485476755</c:v>
                </c:pt>
                <c:pt idx="64">
                  <c:v>148.73654918693816</c:v>
                </c:pt>
                <c:pt idx="65">
                  <c:v>162.62720205882005</c:v>
                </c:pt>
                <c:pt idx="66">
                  <c:v>160.94800684902128</c:v>
                </c:pt>
                <c:pt idx="67">
                  <c:v>161.22366482368764</c:v>
                </c:pt>
                <c:pt idx="68">
                  <c:v>144.3694108592785</c:v>
                </c:pt>
                <c:pt idx="69">
                  <c:v>127.74099240704594</c:v>
                </c:pt>
                <c:pt idx="70">
                  <c:v>138.1147394362512</c:v>
                </c:pt>
                <c:pt idx="71">
                  <c:v>134.91990704327395</c:v>
                </c:pt>
                <c:pt idx="72">
                  <c:v>136.64111058640842</c:v>
                </c:pt>
                <c:pt idx="73">
                  <c:v>138.57690713455713</c:v>
                </c:pt>
                <c:pt idx="74">
                  <c:v>148.82296417683534</c:v>
                </c:pt>
                <c:pt idx="75">
                  <c:v>143.59257359228729</c:v>
                </c:pt>
                <c:pt idx="76">
                  <c:v>143.67512690206505</c:v>
                </c:pt>
                <c:pt idx="77">
                  <c:v>145.82434842612184</c:v>
                </c:pt>
                <c:pt idx="78">
                  <c:v>135.87692161261324</c:v>
                </c:pt>
                <c:pt idx="79">
                  <c:v>141.60680301465675</c:v>
                </c:pt>
                <c:pt idx="80">
                  <c:v>140.19094390083228</c:v>
                </c:pt>
                <c:pt idx="81">
                  <c:v>143.54776488808099</c:v>
                </c:pt>
                <c:pt idx="82">
                  <c:v>145.02226587309275</c:v>
                </c:pt>
                <c:pt idx="83">
                  <c:v>137.98412784264735</c:v>
                </c:pt>
                <c:pt idx="84">
                  <c:v>147.09765975680776</c:v>
                </c:pt>
                <c:pt idx="85">
                  <c:v>141.86287512508198</c:v>
                </c:pt>
                <c:pt idx="86">
                  <c:v>137.76799862202333</c:v>
                </c:pt>
                <c:pt idx="87">
                  <c:v>129.99246835966918</c:v>
                </c:pt>
                <c:pt idx="88">
                  <c:v>129.79107664400823</c:v>
                </c:pt>
                <c:pt idx="89">
                  <c:v>133.74955871024653</c:v>
                </c:pt>
                <c:pt idx="90">
                  <c:v>128.72181004002996</c:v>
                </c:pt>
                <c:pt idx="91">
                  <c:v>128.45924300458424</c:v>
                </c:pt>
                <c:pt idx="92">
                  <c:v>130.95511884355463</c:v>
                </c:pt>
                <c:pt idx="93">
                  <c:v>129.69173225243347</c:v>
                </c:pt>
                <c:pt idx="94">
                  <c:v>125.70352895040584</c:v>
                </c:pt>
                <c:pt idx="95">
                  <c:v>127.490383183747</c:v>
                </c:pt>
                <c:pt idx="96">
                  <c:v>127.98292736134763</c:v>
                </c:pt>
                <c:pt idx="97">
                  <c:v>126.5549186455179</c:v>
                </c:pt>
                <c:pt idx="98">
                  <c:v>128.55553389061171</c:v>
                </c:pt>
                <c:pt idx="99">
                  <c:v>135.42720383257947</c:v>
                </c:pt>
                <c:pt idx="100">
                  <c:v>140.86981419920374</c:v>
                </c:pt>
                <c:pt idx="101">
                  <c:v>143.4078906440306</c:v>
                </c:pt>
                <c:pt idx="102">
                  <c:v>141.84361311756177</c:v>
                </c:pt>
                <c:pt idx="103">
                  <c:v>143.88397163665059</c:v>
                </c:pt>
                <c:pt idx="104">
                  <c:v>149.86305776374851</c:v>
                </c:pt>
                <c:pt idx="105">
                  <c:v>146.64057442844245</c:v>
                </c:pt>
                <c:pt idx="106">
                  <c:v>149.84514018591958</c:v>
                </c:pt>
                <c:pt idx="107">
                  <c:v>140.45979834721518</c:v>
                </c:pt>
                <c:pt idx="108">
                  <c:v>146.92245759615307</c:v>
                </c:pt>
                <c:pt idx="109">
                  <c:v>154.68877868821153</c:v>
                </c:pt>
                <c:pt idx="110">
                  <c:v>151.8174528634932</c:v>
                </c:pt>
                <c:pt idx="111">
                  <c:v>144.9078914524778</c:v>
                </c:pt>
                <c:pt idx="112">
                  <c:v>148.51367520889289</c:v>
                </c:pt>
                <c:pt idx="113">
                  <c:v>148.52853919186455</c:v>
                </c:pt>
                <c:pt idx="114">
                  <c:v>147.87469014347315</c:v>
                </c:pt>
                <c:pt idx="115">
                  <c:v>150.39788227817479</c:v>
                </c:pt>
                <c:pt idx="116">
                  <c:v>154.6071157891335</c:v>
                </c:pt>
                <c:pt idx="117">
                  <c:v>150.3731979329649</c:v>
                </c:pt>
                <c:pt idx="118">
                  <c:v>154.02112858522625</c:v>
                </c:pt>
                <c:pt idx="119">
                  <c:v>147.02059988328514</c:v>
                </c:pt>
                <c:pt idx="120">
                  <c:v>147.95950027140259</c:v>
                </c:pt>
                <c:pt idx="121">
                  <c:v>143.64920860534886</c:v>
                </c:pt>
                <c:pt idx="122">
                  <c:v>144.88253021293943</c:v>
                </c:pt>
                <c:pt idx="123">
                  <c:v>151.12688106377178</c:v>
                </c:pt>
                <c:pt idx="124">
                  <c:v>155.68783411209358</c:v>
                </c:pt>
                <c:pt idx="125">
                  <c:v>157.10565806683459</c:v>
                </c:pt>
                <c:pt idx="126">
                  <c:v>157.35745828411837</c:v>
                </c:pt>
                <c:pt idx="127">
                  <c:v>165.14159752989286</c:v>
                </c:pt>
                <c:pt idx="128">
                  <c:v>160.76021497881041</c:v>
                </c:pt>
                <c:pt idx="129">
                  <c:v>165.18379180045432</c:v>
                </c:pt>
                <c:pt idx="130">
                  <c:v>161.99156933619517</c:v>
                </c:pt>
                <c:pt idx="131">
                  <c:v>167.462717526983</c:v>
                </c:pt>
                <c:pt idx="132">
                  <c:v>172.50060200636725</c:v>
                </c:pt>
                <c:pt idx="133">
                  <c:v>174.77033776335495</c:v>
                </c:pt>
                <c:pt idx="134">
                  <c:v>174.77123747049791</c:v>
                </c:pt>
                <c:pt idx="135">
                  <c:v>177.01713633295606</c:v>
                </c:pt>
                <c:pt idx="136">
                  <c:v>179.69970737857759</c:v>
                </c:pt>
                <c:pt idx="137">
                  <c:v>179.14422447109999</c:v>
                </c:pt>
                <c:pt idx="138">
                  <c:v>180.09765198633917</c:v>
                </c:pt>
                <c:pt idx="139">
                  <c:v>173.43983383620872</c:v>
                </c:pt>
                <c:pt idx="140">
                  <c:v>174.88537730678306</c:v>
                </c:pt>
                <c:pt idx="141">
                  <c:v>181.71544337568778</c:v>
                </c:pt>
                <c:pt idx="142">
                  <c:v>183.04886351139459</c:v>
                </c:pt>
                <c:pt idx="143">
                  <c:v>192.91405497910509</c:v>
                </c:pt>
                <c:pt idx="144">
                  <c:v>189.69802837731621</c:v>
                </c:pt>
                <c:pt idx="145">
                  <c:v>190.79125729777419</c:v>
                </c:pt>
                <c:pt idx="146">
                  <c:v>192.62256978176839</c:v>
                </c:pt>
                <c:pt idx="147">
                  <c:v>188.52893010337763</c:v>
                </c:pt>
                <c:pt idx="148">
                  <c:v>194.34341009415115</c:v>
                </c:pt>
                <c:pt idx="149">
                  <c:v>205.0577289265747</c:v>
                </c:pt>
                <c:pt idx="150">
                  <c:v>215.81783470292595</c:v>
                </c:pt>
                <c:pt idx="151">
                  <c:v>225.65960374890207</c:v>
                </c:pt>
                <c:pt idx="152">
                  <c:v>209.52438188212676</c:v>
                </c:pt>
                <c:pt idx="153">
                  <c:v>221.01048584666231</c:v>
                </c:pt>
                <c:pt idx="154">
                  <c:v>209.45589196841351</c:v>
                </c:pt>
                <c:pt idx="155">
                  <c:v>212.28353834655331</c:v>
                </c:pt>
                <c:pt idx="156">
                  <c:v>214.33012718372078</c:v>
                </c:pt>
                <c:pt idx="157">
                  <c:v>219.97065433204648</c:v>
                </c:pt>
                <c:pt idx="158">
                  <c:v>234.92033457390079</c:v>
                </c:pt>
                <c:pt idx="159">
                  <c:v>244.14577205259332</c:v>
                </c:pt>
                <c:pt idx="160">
                  <c:v>244.74680003188124</c:v>
                </c:pt>
                <c:pt idx="161">
                  <c:v>240.14666788518321</c:v>
                </c:pt>
                <c:pt idx="162">
                  <c:v>245.4942557463649</c:v>
                </c:pt>
                <c:pt idx="163">
                  <c:v>244.55521580530967</c:v>
                </c:pt>
                <c:pt idx="164">
                  <c:v>211.87028206006443</c:v>
                </c:pt>
                <c:pt idx="165">
                  <c:v>215.83874626915829</c:v>
                </c:pt>
                <c:pt idx="166">
                  <c:v>234.47579509332155</c:v>
                </c:pt>
                <c:pt idx="167">
                  <c:v>247.16667201664458</c:v>
                </c:pt>
                <c:pt idx="168">
                  <c:v>258.29301874572673</c:v>
                </c:pt>
                <c:pt idx="169">
                  <c:v>264.78273790877967</c:v>
                </c:pt>
                <c:pt idx="170">
                  <c:v>257.61791508826809</c:v>
                </c:pt>
                <c:pt idx="171">
                  <c:v>267.1646142916473</c:v>
                </c:pt>
                <c:pt idx="172">
                  <c:v>275.90350597340444</c:v>
                </c:pt>
                <c:pt idx="173">
                  <c:v>265.46957312360939</c:v>
                </c:pt>
                <c:pt idx="174">
                  <c:v>277.388858073081</c:v>
                </c:pt>
                <c:pt idx="175">
                  <c:v>276.58093225392093</c:v>
                </c:pt>
                <c:pt idx="176">
                  <c:v>276.4827711936648</c:v>
                </c:pt>
                <c:pt idx="177">
                  <c:v>273.82539278731377</c:v>
                </c:pt>
                <c:pt idx="178">
                  <c:v>287.23200665218286</c:v>
                </c:pt>
                <c:pt idx="179">
                  <c:v>293.56441807800536</c:v>
                </c:pt>
                <c:pt idx="180">
                  <c:v>316.50167838624304</c:v>
                </c:pt>
                <c:pt idx="181">
                  <c:v>298.9259354544414</c:v>
                </c:pt>
                <c:pt idx="182">
                  <c:v>300.3812831155995</c:v>
                </c:pt>
                <c:pt idx="183">
                  <c:v>320.62180068926477</c:v>
                </c:pt>
                <c:pt idx="184">
                  <c:v>303.48956879844246</c:v>
                </c:pt>
                <c:pt idx="185">
                  <c:v>294.11317801691189</c:v>
                </c:pt>
                <c:pt idx="186">
                  <c:v>302.46675727714103</c:v>
                </c:pt>
                <c:pt idx="187">
                  <c:v>292.95278430141241</c:v>
                </c:pt>
                <c:pt idx="188">
                  <c:v>302.32755018970022</c:v>
                </c:pt>
                <c:pt idx="189">
                  <c:v>286.47521285862808</c:v>
                </c:pt>
                <c:pt idx="190">
                  <c:v>280.49737246316761</c:v>
                </c:pt>
                <c:pt idx="191">
                  <c:v>261.36739380122793</c:v>
                </c:pt>
                <c:pt idx="192">
                  <c:v>264.57648930099629</c:v>
                </c:pt>
                <c:pt idx="193">
                  <c:v>268.68287585891721</c:v>
                </c:pt>
                <c:pt idx="194">
                  <c:v>245.64389851021659</c:v>
                </c:pt>
                <c:pt idx="195">
                  <c:v>228.46553353411147</c:v>
                </c:pt>
                <c:pt idx="196">
                  <c:v>243.92964660927416</c:v>
                </c:pt>
                <c:pt idx="197">
                  <c:v>238.75474184543222</c:v>
                </c:pt>
                <c:pt idx="198">
                  <c:v>230.63907490006287</c:v>
                </c:pt>
                <c:pt idx="199">
                  <c:v>227.30036515353299</c:v>
                </c:pt>
                <c:pt idx="200">
                  <c:v>216.77421332396418</c:v>
                </c:pt>
                <c:pt idx="201">
                  <c:v>197.71318852677655</c:v>
                </c:pt>
                <c:pt idx="202">
                  <c:v>200.71091157450732</c:v>
                </c:pt>
                <c:pt idx="203">
                  <c:v>211.15085923271209</c:v>
                </c:pt>
                <c:pt idx="204">
                  <c:v>212.04087746504527</c:v>
                </c:pt>
                <c:pt idx="205">
                  <c:v>205.26704603274032</c:v>
                </c:pt>
                <c:pt idx="206">
                  <c:v>203.81323116638532</c:v>
                </c:pt>
                <c:pt idx="207">
                  <c:v>211.87731428331705</c:v>
                </c:pt>
                <c:pt idx="208">
                  <c:v>203.02750156636219</c:v>
                </c:pt>
                <c:pt idx="209">
                  <c:v>202.03283533714841</c:v>
                </c:pt>
                <c:pt idx="210">
                  <c:v>189.12934667645126</c:v>
                </c:pt>
                <c:pt idx="211">
                  <c:v>172.87458352428061</c:v>
                </c:pt>
                <c:pt idx="212">
                  <c:v>173.04220294725386</c:v>
                </c:pt>
                <c:pt idx="213">
                  <c:v>154.08062431562064</c:v>
                </c:pt>
                <c:pt idx="214">
                  <c:v>164.37414984007816</c:v>
                </c:pt>
                <c:pt idx="215">
                  <c:v>171.96474696789872</c:v>
                </c:pt>
                <c:pt idx="216">
                  <c:v>163.384102616478</c:v>
                </c:pt>
                <c:pt idx="217">
                  <c:v>158.17149946401207</c:v>
                </c:pt>
                <c:pt idx="218">
                  <c:v>155.42810196643558</c:v>
                </c:pt>
                <c:pt idx="219">
                  <c:v>154.80658463311781</c:v>
                </c:pt>
                <c:pt idx="220">
                  <c:v>167.23929110522081</c:v>
                </c:pt>
                <c:pt idx="221">
                  <c:v>175.77100571852174</c:v>
                </c:pt>
                <c:pt idx="222">
                  <c:v>178.7995773440812</c:v>
                </c:pt>
                <c:pt idx="223">
                  <c:v>182.94621760027229</c:v>
                </c:pt>
                <c:pt idx="224">
                  <c:v>186.78548861244943</c:v>
                </c:pt>
                <c:pt idx="225">
                  <c:v>187.55408352587355</c:v>
                </c:pt>
                <c:pt idx="226">
                  <c:v>197.59150003311277</c:v>
                </c:pt>
                <c:pt idx="227">
                  <c:v>200.02299609171212</c:v>
                </c:pt>
                <c:pt idx="228">
                  <c:v>212.43381641044982</c:v>
                </c:pt>
                <c:pt idx="229">
                  <c:v>215.82954483075903</c:v>
                </c:pt>
                <c:pt idx="230">
                  <c:v>219.77660817212325</c:v>
                </c:pt>
                <c:pt idx="231">
                  <c:v>217.81470059205984</c:v>
                </c:pt>
                <c:pt idx="232">
                  <c:v>211.55425189547165</c:v>
                </c:pt>
                <c:pt idx="233">
                  <c:v>212.09473773383112</c:v>
                </c:pt>
                <c:pt idx="234">
                  <c:v>215.9631882607716</c:v>
                </c:pt>
                <c:pt idx="235">
                  <c:v>209.3074383327388</c:v>
                </c:pt>
                <c:pt idx="236">
                  <c:v>210.9611272479647</c:v>
                </c:pt>
                <c:pt idx="237">
                  <c:v>215.12307747188024</c:v>
                </c:pt>
                <c:pt idx="238">
                  <c:v>218.97459459879406</c:v>
                </c:pt>
                <c:pt idx="239">
                  <c:v>229.22475146039577</c:v>
                </c:pt>
                <c:pt idx="240">
                  <c:v>237.79072435761822</c:v>
                </c:pt>
                <c:pt idx="241">
                  <c:v>233.49710181240556</c:v>
                </c:pt>
                <c:pt idx="242">
                  <c:v>240.99608083413762</c:v>
                </c:pt>
                <c:pt idx="243">
                  <c:v>235.51275582318829</c:v>
                </c:pt>
                <c:pt idx="244">
                  <c:v>228.82441739593452</c:v>
                </c:pt>
                <c:pt idx="245">
                  <c:v>231.92378246501818</c:v>
                </c:pt>
                <c:pt idx="246">
                  <c:v>233.87345860441027</c:v>
                </c:pt>
                <c:pt idx="247">
                  <c:v>241.31685445973451</c:v>
                </c:pt>
                <c:pt idx="248">
                  <c:v>242.86795355836077</c:v>
                </c:pt>
                <c:pt idx="249">
                  <c:v>248.69841549072697</c:v>
                </c:pt>
                <c:pt idx="250">
                  <c:v>241.53495887080649</c:v>
                </c:pt>
                <c:pt idx="251">
                  <c:v>248.53993555229113</c:v>
                </c:pt>
                <c:pt idx="252">
                  <c:v>253.79640472659514</c:v>
                </c:pt>
                <c:pt idx="253">
                  <c:v>266.02366433079936</c:v>
                </c:pt>
                <c:pt idx="254">
                  <c:v>265.0831478474762</c:v>
                </c:pt>
                <c:pt idx="255">
                  <c:v>267.53594614374066</c:v>
                </c:pt>
                <c:pt idx="256">
                  <c:v>274.24131642946253</c:v>
                </c:pt>
                <c:pt idx="257">
                  <c:v>263.74002631742343</c:v>
                </c:pt>
                <c:pt idx="258">
                  <c:v>263.7867860938988</c:v>
                </c:pt>
                <c:pt idx="259">
                  <c:v>266.05027885828474</c:v>
                </c:pt>
                <c:pt idx="260">
                  <c:v>273.3769048821581</c:v>
                </c:pt>
                <c:pt idx="261">
                  <c:v>275.48667714104334</c:v>
                </c:pt>
                <c:pt idx="262">
                  <c:v>285.39633431780118</c:v>
                </c:pt>
                <c:pt idx="263">
                  <c:v>291.98958169885589</c:v>
                </c:pt>
                <c:pt idx="264">
                  <c:v>297.26794832537701</c:v>
                </c:pt>
                <c:pt idx="265">
                  <c:v>301.60162769704652</c:v>
                </c:pt>
                <c:pt idx="266">
                  <c:v>300.08257551570131</c:v>
                </c:pt>
                <c:pt idx="267">
                  <c:v>301.80707773121031</c:v>
                </c:pt>
                <c:pt idx="268">
                  <c:v>312.26353100814202</c:v>
                </c:pt>
                <c:pt idx="269">
                  <c:v>320.54615995322945</c:v>
                </c:pt>
                <c:pt idx="270">
                  <c:v>318.23725960843814</c:v>
                </c:pt>
                <c:pt idx="271">
                  <c:v>312.0908160158819</c:v>
                </c:pt>
                <c:pt idx="272">
                  <c:v>313.33585107661793</c:v>
                </c:pt>
                <c:pt idx="273">
                  <c:v>326.77404486636823</c:v>
                </c:pt>
                <c:pt idx="274">
                  <c:v>334.95493947493253</c:v>
                </c:pt>
                <c:pt idx="275">
                  <c:v>320.15221297179437</c:v>
                </c:pt>
                <c:pt idx="276">
                  <c:v>315.66470372667152</c:v>
                </c:pt>
                <c:pt idx="277">
                  <c:v>291.9097058475524</c:v>
                </c:pt>
                <c:pt idx="278">
                  <c:v>290.19175566099989</c:v>
                </c:pt>
                <c:pt idx="279">
                  <c:v>283.21733383577543</c:v>
                </c:pt>
                <c:pt idx="280">
                  <c:v>297.17249423848034</c:v>
                </c:pt>
                <c:pt idx="281">
                  <c:v>300.38784389605144</c:v>
                </c:pt>
                <c:pt idx="282">
                  <c:v>275.05152957647459</c:v>
                </c:pt>
                <c:pt idx="283">
                  <c:v>269.89363962055984</c:v>
                </c:pt>
                <c:pt idx="284">
                  <c:v>267.45234369393739</c:v>
                </c:pt>
                <c:pt idx="285">
                  <c:v>234.39044461983929</c:v>
                </c:pt>
                <c:pt idx="286">
                  <c:v>190.24341183506866</c:v>
                </c:pt>
                <c:pt idx="287">
                  <c:v>179.07084931563301</c:v>
                </c:pt>
                <c:pt idx="288">
                  <c:v>185.70075041356526</c:v>
                </c:pt>
                <c:pt idx="289">
                  <c:v>170.52802090111078</c:v>
                </c:pt>
                <c:pt idx="290">
                  <c:v>153.15436146616403</c:v>
                </c:pt>
                <c:pt idx="291">
                  <c:v>163.40496645192297</c:v>
                </c:pt>
                <c:pt idx="292">
                  <c:v>181.2826196127572</c:v>
                </c:pt>
                <c:pt idx="293">
                  <c:v>198.09527357106995</c:v>
                </c:pt>
                <c:pt idx="294">
                  <c:v>197.05309907000307</c:v>
                </c:pt>
                <c:pt idx="295">
                  <c:v>214.88477601390355</c:v>
                </c:pt>
                <c:pt idx="296">
                  <c:v>224.40019453046759</c:v>
                </c:pt>
                <c:pt idx="297">
                  <c:v>232.89481553652359</c:v>
                </c:pt>
                <c:pt idx="298">
                  <c:v>228.62266662062822</c:v>
                </c:pt>
                <c:pt idx="299">
                  <c:v>237.40488079663328</c:v>
                </c:pt>
                <c:pt idx="300">
                  <c:v>241.5011670709261</c:v>
                </c:pt>
                <c:pt idx="301">
                  <c:v>232.63880919999022</c:v>
                </c:pt>
                <c:pt idx="302">
                  <c:v>235.83900422120365</c:v>
                </c:pt>
                <c:pt idx="303">
                  <c:v>247.57189096794963</c:v>
                </c:pt>
                <c:pt idx="304">
                  <c:v>246.60298815416061</c:v>
                </c:pt>
                <c:pt idx="305">
                  <c:v>222.67967872586041</c:v>
                </c:pt>
                <c:pt idx="306">
                  <c:v>214.63556888172204</c:v>
                </c:pt>
                <c:pt idx="307">
                  <c:v>231.64266822659962</c:v>
                </c:pt>
                <c:pt idx="308">
                  <c:v>223.44011247485312</c:v>
                </c:pt>
                <c:pt idx="309">
                  <c:v>243.8289417470528</c:v>
                </c:pt>
                <c:pt idx="310">
                  <c:v>251.84306648887261</c:v>
                </c:pt>
                <c:pt idx="311">
                  <c:v>245.97427832287261</c:v>
                </c:pt>
                <c:pt idx="312">
                  <c:v>263.28724278542194</c:v>
                </c:pt>
                <c:pt idx="313">
                  <c:v>267.69473922347004</c:v>
                </c:pt>
                <c:pt idx="314">
                  <c:v>277.08200579046718</c:v>
                </c:pt>
                <c:pt idx="315">
                  <c:v>270.00509710081116</c:v>
                </c:pt>
                <c:pt idx="316">
                  <c:v>280.29525393797201</c:v>
                </c:pt>
                <c:pt idx="317">
                  <c:v>274.62122712226972</c:v>
                </c:pt>
                <c:pt idx="318">
                  <c:v>270.90483523823195</c:v>
                </c:pt>
                <c:pt idx="319">
                  <c:v>266.19252941567487</c:v>
                </c:pt>
                <c:pt idx="320">
                  <c:v>248.52675551907845</c:v>
                </c:pt>
                <c:pt idx="321">
                  <c:v>225.2248202254469</c:v>
                </c:pt>
                <c:pt idx="322">
                  <c:v>245.93711179457989</c:v>
                </c:pt>
                <c:pt idx="323">
                  <c:v>240.1224239271111</c:v>
                </c:pt>
                <c:pt idx="324">
                  <c:v>240.03043981998849</c:v>
                </c:pt>
                <c:pt idx="325">
                  <c:v>250.87856153079585</c:v>
                </c:pt>
                <c:pt idx="326">
                  <c:v>262.92109050450705</c:v>
                </c:pt>
                <c:pt idx="327">
                  <c:v>263.23113888662266</c:v>
                </c:pt>
                <c:pt idx="328">
                  <c:v>259.51142745477875</c:v>
                </c:pt>
                <c:pt idx="329">
                  <c:v>237.94307508683346</c:v>
                </c:pt>
                <c:pt idx="330">
                  <c:v>250.6157647105407</c:v>
                </c:pt>
                <c:pt idx="331">
                  <c:v>253.87820059666859</c:v>
                </c:pt>
                <c:pt idx="332">
                  <c:v>260.68508749242324</c:v>
                </c:pt>
                <c:pt idx="333">
                  <c:v>266.18697426764584</c:v>
                </c:pt>
                <c:pt idx="334">
                  <c:v>263.56084983979821</c:v>
                </c:pt>
                <c:pt idx="335">
                  <c:v>267.77896862410961</c:v>
                </c:pt>
                <c:pt idx="336">
                  <c:v>272.78227896280413</c:v>
                </c:pt>
                <c:pt idx="337">
                  <c:v>290.28425799851692</c:v>
                </c:pt>
                <c:pt idx="338">
                  <c:v>291.11305298136875</c:v>
                </c:pt>
                <c:pt idx="339">
                  <c:v>293.08875310935349</c:v>
                </c:pt>
                <c:pt idx="340">
                  <c:v>302.28516586546812</c:v>
                </c:pt>
                <c:pt idx="341">
                  <c:v>301.88336388562982</c:v>
                </c:pt>
                <c:pt idx="342">
                  <c:v>294.29318216320979</c:v>
                </c:pt>
                <c:pt idx="343">
                  <c:v>310.51896522749854</c:v>
                </c:pt>
                <c:pt idx="344">
                  <c:v>306.17943145606091</c:v>
                </c:pt>
                <c:pt idx="345">
                  <c:v>319.62039987464777</c:v>
                </c:pt>
                <c:pt idx="346">
                  <c:v>332.29353373486987</c:v>
                </c:pt>
                <c:pt idx="347">
                  <c:v>338.95154704369475</c:v>
                </c:pt>
                <c:pt idx="348">
                  <c:v>344.87770069966263</c:v>
                </c:pt>
                <c:pt idx="349">
                  <c:v>336.74171879355208</c:v>
                </c:pt>
                <c:pt idx="350">
                  <c:v>354.52516844535285</c:v>
                </c:pt>
                <c:pt idx="351">
                  <c:v>350.25815749234897</c:v>
                </c:pt>
                <c:pt idx="352">
                  <c:v>353.0127119994774</c:v>
                </c:pt>
                <c:pt idx="353">
                  <c:v>360.41730089566414</c:v>
                </c:pt>
                <c:pt idx="354">
                  <c:v>366.60555278457491</c:v>
                </c:pt>
                <c:pt idx="355">
                  <c:v>363.26092011783919</c:v>
                </c:pt>
                <c:pt idx="356">
                  <c:v>372.11218344635142</c:v>
                </c:pt>
                <c:pt idx="357">
                  <c:v>359.95486503376361</c:v>
                </c:pt>
                <c:pt idx="358">
                  <c:v>361.09295618544292</c:v>
                </c:pt>
                <c:pt idx="359">
                  <c:v>369.09397636338502</c:v>
                </c:pt>
                <c:pt idx="360">
                  <c:v>363.2003132949074</c:v>
                </c:pt>
                <c:pt idx="361">
                  <c:v>361.73084110333508</c:v>
                </c:pt>
                <c:pt idx="362">
                  <c:v>383.2112362059197</c:v>
                </c:pt>
                <c:pt idx="363">
                  <c:v>370.21456959680557</c:v>
                </c:pt>
                <c:pt idx="364">
                  <c:v>377.67305075377942</c:v>
                </c:pt>
                <c:pt idx="365">
                  <c:v>377.3657161087603</c:v>
                </c:pt>
                <c:pt idx="366">
                  <c:v>368.88590811398507</c:v>
                </c:pt>
                <c:pt idx="367">
                  <c:v>378.24944188007328</c:v>
                </c:pt>
                <c:pt idx="368">
                  <c:v>354.40711240385656</c:v>
                </c:pt>
                <c:pt idx="369">
                  <c:v>338.66453353805741</c:v>
                </c:pt>
                <c:pt idx="370">
                  <c:v>365.17615959065631</c:v>
                </c:pt>
                <c:pt idx="371">
                  <c:v>364.07622970229238</c:v>
                </c:pt>
                <c:pt idx="372">
                  <c:v>358.61166624157664</c:v>
                </c:pt>
                <c:pt idx="373">
                  <c:v>340.69005697839941</c:v>
                </c:pt>
                <c:pt idx="374">
                  <c:v>339.67613392123496</c:v>
                </c:pt>
                <c:pt idx="375">
                  <c:v>355.8367717604001</c:v>
                </c:pt>
                <c:pt idx="376">
                  <c:v>360.20530307000996</c:v>
                </c:pt>
                <c:pt idx="377">
                  <c:v>361.20561310052454</c:v>
                </c:pt>
                <c:pt idx="378">
                  <c:v>356.68478358210297</c:v>
                </c:pt>
                <c:pt idx="379">
                  <c:v>374.22809051394484</c:v>
                </c:pt>
                <c:pt idx="380">
                  <c:v>375.37788467301471</c:v>
                </c:pt>
                <c:pt idx="381">
                  <c:v>374.76817386777253</c:v>
                </c:pt>
                <c:pt idx="382">
                  <c:v>366.26100712109087</c:v>
                </c:pt>
                <c:pt idx="383">
                  <c:v>373.40616643716481</c:v>
                </c:pt>
                <c:pt idx="384">
                  <c:v>382.19048754648463</c:v>
                </c:pt>
                <c:pt idx="385">
                  <c:v>393.74642934987219</c:v>
                </c:pt>
                <c:pt idx="386">
                  <c:v>405.6031542701005</c:v>
                </c:pt>
                <c:pt idx="387">
                  <c:v>402.86326989480261</c:v>
                </c:pt>
                <c:pt idx="388">
                  <c:v>404.96917695689882</c:v>
                </c:pt>
                <c:pt idx="389">
                  <c:v>414.51420900345539</c:v>
                </c:pt>
                <c:pt idx="390">
                  <c:v>417.78992668905784</c:v>
                </c:pt>
                <c:pt idx="391">
                  <c:v>430.66439363549438</c:v>
                </c:pt>
                <c:pt idx="392">
                  <c:v>431.23727687735089</c:v>
                </c:pt>
                <c:pt idx="393">
                  <c:v>436.77730335366715</c:v>
                </c:pt>
                <c:pt idx="394">
                  <c:v>443.50345976163135</c:v>
                </c:pt>
                <c:pt idx="395">
                  <c:v>454.69665214737734</c:v>
                </c:pt>
                <c:pt idx="396">
                  <c:v>461.04274877406203</c:v>
                </c:pt>
                <c:pt idx="397">
                  <c:v>490.37676120560394</c:v>
                </c:pt>
                <c:pt idx="398">
                  <c:v>473.27458233618569</c:v>
                </c:pt>
                <c:pt idx="399">
                  <c:v>454.48292692194451</c:v>
                </c:pt>
                <c:pt idx="400">
                  <c:v>456.68962254320144</c:v>
                </c:pt>
                <c:pt idx="401">
                  <c:v>457.69064186428068</c:v>
                </c:pt>
                <c:pt idx="402">
                  <c:v>457.1782928498497</c:v>
                </c:pt>
                <c:pt idx="403">
                  <c:v>474.35057120796836</c:v>
                </c:pt>
                <c:pt idx="404">
                  <c:v>481.88406389127306</c:v>
                </c:pt>
                <c:pt idx="405">
                  <c:v>479.16320817331683</c:v>
                </c:pt>
                <c:pt idx="406">
                  <c:v>444.37897412559693</c:v>
                </c:pt>
                <c:pt idx="407">
                  <c:v>451.44725202166291</c:v>
                </c:pt>
                <c:pt idx="408">
                  <c:v>418.10184169897781</c:v>
                </c:pt>
                <c:pt idx="409">
                  <c:v>456.11972204940537</c:v>
                </c:pt>
                <c:pt idx="410">
                  <c:v>470.87424059108901</c:v>
                </c:pt>
                <c:pt idx="411">
                  <c:v>468.75582598402053</c:v>
                </c:pt>
                <c:pt idx="412">
                  <c:v>482.55623381512157</c:v>
                </c:pt>
                <c:pt idx="413">
                  <c:v>454.4473123542528</c:v>
                </c:pt>
                <c:pt idx="414">
                  <c:v>484.24521715246146</c:v>
                </c:pt>
                <c:pt idx="415">
                  <c:v>493.08183305467793</c:v>
                </c:pt>
                <c:pt idx="416">
                  <c:v>483.55282020001135</c:v>
                </c:pt>
                <c:pt idx="417">
                  <c:v>488.46709930395582</c:v>
                </c:pt>
                <c:pt idx="418">
                  <c:v>500.71023321265113</c:v>
                </c:pt>
                <c:pt idx="419">
                  <c:v>515.41524831886181</c:v>
                </c:pt>
                <c:pt idx="420">
                  <c:v>531.56026672467488</c:v>
                </c:pt>
                <c:pt idx="421">
                  <c:v>532.7413530411992</c:v>
                </c:pt>
                <c:pt idx="422">
                  <c:v>490.83542275328955</c:v>
                </c:pt>
                <c:pt idx="423">
                  <c:v>419.85547299119622</c:v>
                </c:pt>
                <c:pt idx="424">
                  <c:v>465.72224876290329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0-482F-A17B-BE107635C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8277039"/>
        <c:axId val="645031503"/>
      </c:lineChart>
      <c:dateAx>
        <c:axId val="1618277039"/>
        <c:scaling>
          <c:orientation val="minMax"/>
        </c:scaling>
        <c:delete val="0"/>
        <c:axPos val="b"/>
        <c:numFmt formatCode="[$-416]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031503"/>
        <c:crosses val="autoZero"/>
        <c:auto val="0"/>
        <c:lblOffset val="100"/>
        <c:baseTimeUnit val="months"/>
        <c:majorUnit val="12"/>
        <c:majorTimeUnit val="months"/>
      </c:dateAx>
      <c:valAx>
        <c:axId val="64503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27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85724</xdr:rowOff>
    </xdr:from>
    <xdr:to>
      <xdr:col>21</xdr:col>
      <xdr:colOff>103649</xdr:colOff>
      <xdr:row>35</xdr:row>
      <xdr:rowOff>142199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AADD39-7724-4C53-A3DA-A76F59307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sci-world-vs-fixed-interest-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market vs interest rate"/>
      <sheetName val="inflation-monthly"/>
      <sheetName val="inflation-yearly"/>
      <sheetName val="source--msci-world-history"/>
      <sheetName val="source--pt-inflation-month"/>
      <sheetName val="source--pt-inflation-year"/>
    </sheetNames>
    <sheetDataSet>
      <sheetData sheetId="0">
        <row r="9">
          <cell r="B9">
            <v>31047</v>
          </cell>
          <cell r="G9">
            <v>600</v>
          </cell>
          <cell r="J9">
            <v>600</v>
          </cell>
        </row>
        <row r="10">
          <cell r="B10">
            <v>31078</v>
          </cell>
          <cell r="G10">
            <v>605.06227513220722</v>
          </cell>
          <cell r="J10">
            <v>600</v>
          </cell>
        </row>
        <row r="11">
          <cell r="B11">
            <v>31106</v>
          </cell>
          <cell r="G11">
            <v>590.57420753116628</v>
          </cell>
          <cell r="J11">
            <v>600</v>
          </cell>
        </row>
        <row r="12">
          <cell r="B12">
            <v>31135</v>
          </cell>
          <cell r="G12">
            <v>1201.6597954726949</v>
          </cell>
          <cell r="J12">
            <v>1200</v>
          </cell>
        </row>
        <row r="13">
          <cell r="B13">
            <v>31167</v>
          </cell>
          <cell r="G13">
            <v>1184.9797012305921</v>
          </cell>
          <cell r="J13">
            <v>1200</v>
          </cell>
        </row>
        <row r="14">
          <cell r="B14">
            <v>31198</v>
          </cell>
          <cell r="G14">
            <v>1241.6662691373526</v>
          </cell>
          <cell r="J14">
            <v>1200</v>
          </cell>
        </row>
        <row r="15">
          <cell r="B15">
            <v>31226</v>
          </cell>
          <cell r="G15">
            <v>1861.6528926345093</v>
          </cell>
          <cell r="J15">
            <v>1800</v>
          </cell>
        </row>
        <row r="16">
          <cell r="B16">
            <v>31259</v>
          </cell>
          <cell r="G16">
            <v>1893.3001643104149</v>
          </cell>
          <cell r="J16">
            <v>1800</v>
          </cell>
        </row>
        <row r="17">
          <cell r="B17">
            <v>31289</v>
          </cell>
          <cell r="G17">
            <v>1893.6764943237674</v>
          </cell>
          <cell r="J17">
            <v>1800</v>
          </cell>
        </row>
        <row r="18">
          <cell r="B18">
            <v>31320</v>
          </cell>
          <cell r="G18">
            <v>2505.1548260220543</v>
          </cell>
          <cell r="J18">
            <v>2400</v>
          </cell>
        </row>
        <row r="19">
          <cell r="B19">
            <v>31351</v>
          </cell>
          <cell r="G19">
            <v>2613.4716364693018</v>
          </cell>
          <cell r="J19">
            <v>2400</v>
          </cell>
        </row>
        <row r="20">
          <cell r="B20">
            <v>31380</v>
          </cell>
          <cell r="G20">
            <v>2716.7472855532001</v>
          </cell>
          <cell r="J20">
            <v>2400</v>
          </cell>
        </row>
        <row r="21">
          <cell r="B21">
            <v>31412</v>
          </cell>
          <cell r="G21">
            <v>3397.3921167633862</v>
          </cell>
          <cell r="J21">
            <v>3022.4581259417346</v>
          </cell>
        </row>
        <row r="22">
          <cell r="B22">
            <v>31443</v>
          </cell>
          <cell r="G22">
            <v>3358.671210360767</v>
          </cell>
          <cell r="J22">
            <v>3022.4581259417346</v>
          </cell>
        </row>
        <row r="23">
          <cell r="B23">
            <v>31471</v>
          </cell>
          <cell r="G23">
            <v>3613.4729432964436</v>
          </cell>
          <cell r="J23">
            <v>3022.4581259417346</v>
          </cell>
        </row>
        <row r="24">
          <cell r="B24">
            <v>31502</v>
          </cell>
          <cell r="G24">
            <v>4520.5197426674576</v>
          </cell>
          <cell r="J24">
            <v>3622.4581259417346</v>
          </cell>
        </row>
        <row r="25">
          <cell r="B25">
            <v>31532</v>
          </cell>
          <cell r="G25">
            <v>4584.7322534707446</v>
          </cell>
          <cell r="J25">
            <v>3622.4581259417346</v>
          </cell>
        </row>
        <row r="26">
          <cell r="B26">
            <v>31562</v>
          </cell>
          <cell r="G26">
            <v>4591.0549718327529</v>
          </cell>
          <cell r="J26">
            <v>3622.4581259417346</v>
          </cell>
        </row>
        <row r="27">
          <cell r="B27">
            <v>31593</v>
          </cell>
          <cell r="G27">
            <v>5358.94243962359</v>
          </cell>
          <cell r="J27">
            <v>4222.4581259417346</v>
          </cell>
        </row>
        <row r="28">
          <cell r="B28">
            <v>31624</v>
          </cell>
          <cell r="G28">
            <v>5401.0085464897593</v>
          </cell>
          <cell r="J28">
            <v>4222.4581259417346</v>
          </cell>
        </row>
        <row r="29">
          <cell r="B29">
            <v>31653</v>
          </cell>
          <cell r="G29">
            <v>5817.2162814259946</v>
          </cell>
          <cell r="J29">
            <v>4222.4581259417346</v>
          </cell>
        </row>
        <row r="30">
          <cell r="B30">
            <v>31685</v>
          </cell>
          <cell r="G30">
            <v>6161.6205830832778</v>
          </cell>
          <cell r="J30">
            <v>4822.4581259417346</v>
          </cell>
        </row>
        <row r="31">
          <cell r="B31">
            <v>31716</v>
          </cell>
          <cell r="G31">
            <v>6015.9294347665154</v>
          </cell>
          <cell r="J31">
            <v>4822.4581259417346</v>
          </cell>
        </row>
        <row r="32">
          <cell r="B32">
            <v>31744</v>
          </cell>
          <cell r="G32">
            <v>6216.1248151550426</v>
          </cell>
          <cell r="J32">
            <v>4822.4581259417346</v>
          </cell>
        </row>
        <row r="33">
          <cell r="B33">
            <v>31777</v>
          </cell>
          <cell r="G33">
            <v>6834.8027988072054</v>
          </cell>
          <cell r="J33">
            <v>5481.2531237725943</v>
          </cell>
        </row>
        <row r="34">
          <cell r="B34">
            <v>31807</v>
          </cell>
          <cell r="G34">
            <v>7522.5703294189216</v>
          </cell>
          <cell r="J34">
            <v>5481.2531237725943</v>
          </cell>
        </row>
        <row r="35">
          <cell r="B35">
            <v>31835</v>
          </cell>
          <cell r="G35">
            <v>7680.002366471731</v>
          </cell>
          <cell r="J35">
            <v>5481.2531237725943</v>
          </cell>
        </row>
        <row r="36">
          <cell r="B36">
            <v>31867</v>
          </cell>
          <cell r="G36">
            <v>8645.2750731953238</v>
          </cell>
          <cell r="J36">
            <v>6081.2531237725943</v>
          </cell>
        </row>
        <row r="37">
          <cell r="B37">
            <v>31897</v>
          </cell>
          <cell r="G37">
            <v>9104.3733365771932</v>
          </cell>
          <cell r="J37">
            <v>6081.2531237725943</v>
          </cell>
        </row>
        <row r="38">
          <cell r="B38">
            <v>31926</v>
          </cell>
          <cell r="G38">
            <v>9105.2426127739818</v>
          </cell>
          <cell r="J38">
            <v>6081.2531237725943</v>
          </cell>
        </row>
        <row r="39">
          <cell r="B39">
            <v>31958</v>
          </cell>
          <cell r="G39">
            <v>9722.3036579298096</v>
          </cell>
          <cell r="J39">
            <v>6681.2531237725943</v>
          </cell>
        </row>
        <row r="40">
          <cell r="B40">
            <v>31989</v>
          </cell>
          <cell r="G40">
            <v>9883.7542326974508</v>
          </cell>
          <cell r="J40">
            <v>6681.2531237725943</v>
          </cell>
        </row>
        <row r="41">
          <cell r="B41">
            <v>32020</v>
          </cell>
          <cell r="G41">
            <v>10354.941078412132</v>
          </cell>
          <cell r="J41">
            <v>6681.2531237725943</v>
          </cell>
        </row>
        <row r="42">
          <cell r="B42">
            <v>32050</v>
          </cell>
          <cell r="G42">
            <v>10744.263235451544</v>
          </cell>
          <cell r="J42">
            <v>7281.2531237725943</v>
          </cell>
        </row>
        <row r="43">
          <cell r="B43">
            <v>32080</v>
          </cell>
          <cell r="G43">
            <v>8818.9405619197478</v>
          </cell>
          <cell r="J43">
            <v>7281.2531237725943</v>
          </cell>
        </row>
        <row r="44">
          <cell r="B44">
            <v>32111</v>
          </cell>
          <cell r="G44">
            <v>8570.2884502174238</v>
          </cell>
          <cell r="J44">
            <v>7281.2531237725943</v>
          </cell>
        </row>
        <row r="45">
          <cell r="B45">
            <v>32142</v>
          </cell>
          <cell r="G45">
            <v>9418.918778421239</v>
          </cell>
          <cell r="J45">
            <v>7976.9300465709175</v>
          </cell>
        </row>
        <row r="46">
          <cell r="B46">
            <v>32171</v>
          </cell>
          <cell r="G46">
            <v>9509.690201706615</v>
          </cell>
          <cell r="J46">
            <v>7976.9300465709175</v>
          </cell>
        </row>
        <row r="47">
          <cell r="B47">
            <v>32202</v>
          </cell>
          <cell r="G47">
            <v>9921.6004366146753</v>
          </cell>
          <cell r="J47">
            <v>7976.9300465709175</v>
          </cell>
        </row>
        <row r="48">
          <cell r="B48">
            <v>32233</v>
          </cell>
          <cell r="G48">
            <v>10750.276801504007</v>
          </cell>
          <cell r="J48">
            <v>8576.9300465709166</v>
          </cell>
        </row>
        <row r="49">
          <cell r="B49">
            <v>32262</v>
          </cell>
          <cell r="G49">
            <v>10842.545523182214</v>
          </cell>
          <cell r="J49">
            <v>8576.9300465709166</v>
          </cell>
        </row>
        <row r="50">
          <cell r="B50">
            <v>32294</v>
          </cell>
          <cell r="G50">
            <v>10587.32249436283</v>
          </cell>
          <cell r="J50">
            <v>8576.9300465709166</v>
          </cell>
        </row>
        <row r="51">
          <cell r="B51">
            <v>32324</v>
          </cell>
          <cell r="G51">
            <v>11114.720380360697</v>
          </cell>
          <cell r="J51">
            <v>9176.9300465709166</v>
          </cell>
        </row>
        <row r="52">
          <cell r="B52">
            <v>32353</v>
          </cell>
          <cell r="G52">
            <v>11228.586198914902</v>
          </cell>
          <cell r="J52">
            <v>9176.9300465709166</v>
          </cell>
        </row>
        <row r="53">
          <cell r="B53">
            <v>32386</v>
          </cell>
          <cell r="G53">
            <v>10471.449800454693</v>
          </cell>
          <cell r="J53">
            <v>9176.9300465709166</v>
          </cell>
        </row>
        <row r="54">
          <cell r="B54">
            <v>32416</v>
          </cell>
          <cell r="G54">
            <v>11402.178178486663</v>
          </cell>
          <cell r="J54">
            <v>9776.9300465709166</v>
          </cell>
        </row>
        <row r="55">
          <cell r="B55">
            <v>32447</v>
          </cell>
          <cell r="G55">
            <v>12050.9844855025</v>
          </cell>
          <cell r="J55">
            <v>9776.9300465709166</v>
          </cell>
        </row>
        <row r="56">
          <cell r="B56">
            <v>32477</v>
          </cell>
          <cell r="G56">
            <v>12294.247390094813</v>
          </cell>
          <cell r="J56">
            <v>9776.9300465709166</v>
          </cell>
        </row>
        <row r="57">
          <cell r="B57">
            <v>32507</v>
          </cell>
          <cell r="G57">
            <v>12857.109866013718</v>
          </cell>
          <cell r="J57">
            <v>10510.042123211215</v>
          </cell>
        </row>
        <row r="58">
          <cell r="B58">
            <v>32539</v>
          </cell>
          <cell r="G58">
            <v>13086.197543643457</v>
          </cell>
          <cell r="J58">
            <v>10510.042123211215</v>
          </cell>
        </row>
        <row r="59">
          <cell r="B59">
            <v>32567</v>
          </cell>
          <cell r="G59">
            <v>12828.686330271952</v>
          </cell>
          <cell r="J59">
            <v>10510.042123211215</v>
          </cell>
        </row>
        <row r="60">
          <cell r="B60">
            <v>32598</v>
          </cell>
          <cell r="G60">
            <v>13235.123866482052</v>
          </cell>
          <cell r="J60">
            <v>11110.042123211215</v>
          </cell>
        </row>
        <row r="61">
          <cell r="B61">
            <v>32626</v>
          </cell>
          <cell r="G61">
            <v>13400.240103639408</v>
          </cell>
          <cell r="J61">
            <v>11110.042123211215</v>
          </cell>
        </row>
        <row r="62">
          <cell r="B62">
            <v>32659</v>
          </cell>
          <cell r="G62">
            <v>13045.16934200327</v>
          </cell>
          <cell r="J62">
            <v>11110.042123211215</v>
          </cell>
        </row>
        <row r="63">
          <cell r="B63">
            <v>32689</v>
          </cell>
          <cell r="G63">
            <v>13408.573866479855</v>
          </cell>
          <cell r="J63">
            <v>11710.042123211215</v>
          </cell>
        </row>
        <row r="64">
          <cell r="B64">
            <v>32720</v>
          </cell>
          <cell r="G64">
            <v>14782.078013951514</v>
          </cell>
          <cell r="J64">
            <v>11710.042123211215</v>
          </cell>
        </row>
        <row r="65">
          <cell r="B65">
            <v>32751</v>
          </cell>
          <cell r="G65">
            <v>14186.914785298641</v>
          </cell>
          <cell r="J65">
            <v>11710.042123211215</v>
          </cell>
        </row>
        <row r="66">
          <cell r="B66">
            <v>32780</v>
          </cell>
          <cell r="G66">
            <v>15152.46681992921</v>
          </cell>
          <cell r="J66">
            <v>12310.042123211215</v>
          </cell>
        </row>
        <row r="67">
          <cell r="B67">
            <v>32812</v>
          </cell>
          <cell r="G67">
            <v>14570.885769354423</v>
          </cell>
          <cell r="J67">
            <v>12310.042123211215</v>
          </cell>
        </row>
        <row r="68">
          <cell r="B68">
            <v>32842</v>
          </cell>
          <cell r="G68">
            <v>15008.349206329733</v>
          </cell>
          <cell r="J68">
            <v>12310.042123211215</v>
          </cell>
        </row>
        <row r="69">
          <cell r="B69">
            <v>32871</v>
          </cell>
          <cell r="G69">
            <v>15925.839896043775</v>
          </cell>
          <cell r="J69">
            <v>13081.150881001118</v>
          </cell>
        </row>
        <row r="70">
          <cell r="B70">
            <v>32904</v>
          </cell>
          <cell r="G70">
            <v>14822.213045136848</v>
          </cell>
          <cell r="J70">
            <v>13081.150881001118</v>
          </cell>
        </row>
        <row r="71">
          <cell r="B71">
            <v>32932</v>
          </cell>
          <cell r="G71">
            <v>13873.331077020652</v>
          </cell>
          <cell r="J71">
            <v>13081.150881001118</v>
          </cell>
        </row>
        <row r="72">
          <cell r="B72">
            <v>32962</v>
          </cell>
          <cell r="G72">
            <v>13555.671910032193</v>
          </cell>
          <cell r="J72">
            <v>13681.150881001118</v>
          </cell>
        </row>
        <row r="73">
          <cell r="B73">
            <v>32993</v>
          </cell>
          <cell r="G73">
            <v>13203.836138063947</v>
          </cell>
          <cell r="J73">
            <v>13681.150881001118</v>
          </cell>
        </row>
        <row r="74">
          <cell r="B74">
            <v>33024</v>
          </cell>
          <cell r="G74">
            <v>14436.955404133101</v>
          </cell>
          <cell r="J74">
            <v>13681.150881001118</v>
          </cell>
        </row>
        <row r="75">
          <cell r="B75">
            <v>33053</v>
          </cell>
          <cell r="G75">
            <v>14887.887683285697</v>
          </cell>
          <cell r="J75">
            <v>14281.150881001118</v>
          </cell>
        </row>
        <row r="76">
          <cell r="B76">
            <v>33085</v>
          </cell>
          <cell r="G76">
            <v>14913.386383432289</v>
          </cell>
          <cell r="J76">
            <v>14281.150881001118</v>
          </cell>
        </row>
        <row r="77">
          <cell r="B77">
            <v>33116</v>
          </cell>
          <cell r="G77">
            <v>13354.34725694545</v>
          </cell>
          <cell r="J77">
            <v>14281.150881001118</v>
          </cell>
        </row>
        <row r="78">
          <cell r="B78">
            <v>33144</v>
          </cell>
          <cell r="G78">
            <v>12416.198191826914</v>
          </cell>
          <cell r="J78">
            <v>14881.150881001118</v>
          </cell>
        </row>
        <row r="79">
          <cell r="B79">
            <v>33177</v>
          </cell>
          <cell r="G79">
            <v>13424.50802784306</v>
          </cell>
          <cell r="J79">
            <v>14881.150881001118</v>
          </cell>
        </row>
        <row r="80">
          <cell r="B80">
            <v>33207</v>
          </cell>
          <cell r="G80">
            <v>13113.975978315268</v>
          </cell>
          <cell r="J80">
            <v>14881.150881001118</v>
          </cell>
        </row>
        <row r="81">
          <cell r="B81">
            <v>33238</v>
          </cell>
          <cell r="G81">
            <v>13881.273913906172</v>
          </cell>
          <cell r="J81">
            <v>15690.826270157868</v>
          </cell>
        </row>
        <row r="82">
          <cell r="B82">
            <v>33269</v>
          </cell>
          <cell r="G82">
            <v>14077.930117966032</v>
          </cell>
          <cell r="J82">
            <v>15690.826270157868</v>
          </cell>
        </row>
        <row r="83">
          <cell r="B83">
            <v>33297</v>
          </cell>
          <cell r="G83">
            <v>15118.819816029702</v>
          </cell>
          <cell r="J83">
            <v>15690.826270157868</v>
          </cell>
        </row>
        <row r="84">
          <cell r="B84">
            <v>33326</v>
          </cell>
          <cell r="G84">
            <v>15187.468130806725</v>
          </cell>
          <cell r="J84">
            <v>16290.826270157868</v>
          </cell>
        </row>
        <row r="85">
          <cell r="B85">
            <v>33358</v>
          </cell>
          <cell r="G85">
            <v>15196.199611342077</v>
          </cell>
          <cell r="J85">
            <v>16290.826270157868</v>
          </cell>
        </row>
        <row r="86">
          <cell r="B86">
            <v>33389</v>
          </cell>
          <cell r="G86">
            <v>15423.51800661882</v>
          </cell>
          <cell r="J86">
            <v>16290.826270157868</v>
          </cell>
        </row>
        <row r="87">
          <cell r="B87">
            <v>33417</v>
          </cell>
          <cell r="G87">
            <v>14971.40072830709</v>
          </cell>
          <cell r="J87">
            <v>16890.826270157868</v>
          </cell>
        </row>
        <row r="88">
          <cell r="B88">
            <v>33450</v>
          </cell>
          <cell r="G88">
            <v>15602.739366079879</v>
          </cell>
          <cell r="J88">
            <v>16890.826270157868</v>
          </cell>
        </row>
        <row r="89">
          <cell r="B89">
            <v>33480</v>
          </cell>
          <cell r="G89">
            <v>15446.734991559784</v>
          </cell>
          <cell r="J89">
            <v>16890.826270157868</v>
          </cell>
        </row>
        <row r="90">
          <cell r="B90">
            <v>33511</v>
          </cell>
          <cell r="G90">
            <v>16416.601423451531</v>
          </cell>
          <cell r="J90">
            <v>17490.826270157868</v>
          </cell>
        </row>
        <row r="91">
          <cell r="B91">
            <v>33542</v>
          </cell>
          <cell r="G91">
            <v>16585.230276630107</v>
          </cell>
          <cell r="J91">
            <v>17490.826270157868</v>
          </cell>
        </row>
        <row r="92">
          <cell r="B92">
            <v>33571</v>
          </cell>
          <cell r="G92">
            <v>15780.325324615407</v>
          </cell>
          <cell r="J92">
            <v>17490.826270157868</v>
          </cell>
        </row>
        <row r="93">
          <cell r="B93">
            <v>33603</v>
          </cell>
          <cell r="G93">
            <v>17422.579246934049</v>
          </cell>
          <cell r="J93">
            <v>18339.646790151968</v>
          </cell>
        </row>
        <row r="94">
          <cell r="B94">
            <v>33634</v>
          </cell>
          <cell r="G94">
            <v>16802.559525086272</v>
          </cell>
          <cell r="J94">
            <v>18339.646790151968</v>
          </cell>
        </row>
        <row r="95">
          <cell r="B95">
            <v>33662</v>
          </cell>
          <cell r="G95">
            <v>16317.553098071068</v>
          </cell>
          <cell r="J95">
            <v>18339.646790151968</v>
          </cell>
        </row>
        <row r="96">
          <cell r="B96">
            <v>33694</v>
          </cell>
          <cell r="G96">
            <v>15996.601721912079</v>
          </cell>
          <cell r="J96">
            <v>18939.646790151968</v>
          </cell>
        </row>
        <row r="97">
          <cell r="B97">
            <v>33724</v>
          </cell>
          <cell r="G97">
            <v>15971.818877904478</v>
          </cell>
          <cell r="J97">
            <v>18939.646790151968</v>
          </cell>
        </row>
        <row r="98">
          <cell r="B98">
            <v>33753</v>
          </cell>
          <cell r="G98">
            <v>16458.941415355977</v>
          </cell>
          <cell r="J98">
            <v>18939.646790151968</v>
          </cell>
        </row>
        <row r="99">
          <cell r="B99">
            <v>33785</v>
          </cell>
          <cell r="G99">
            <v>16440.237162331112</v>
          </cell>
          <cell r="J99">
            <v>19539.646790151968</v>
          </cell>
        </row>
        <row r="100">
          <cell r="B100">
            <v>33816</v>
          </cell>
          <cell r="G100">
            <v>16406.702329870353</v>
          </cell>
          <cell r="J100">
            <v>19539.646790151968</v>
          </cell>
        </row>
        <row r="101">
          <cell r="B101">
            <v>33847</v>
          </cell>
          <cell r="G101">
            <v>16725.473412312756</v>
          </cell>
          <cell r="J101">
            <v>19539.646790151968</v>
          </cell>
        </row>
        <row r="102">
          <cell r="B102">
            <v>33877</v>
          </cell>
          <cell r="G102">
            <v>17164.114780241922</v>
          </cell>
          <cell r="J102">
            <v>20139.646790151968</v>
          </cell>
        </row>
        <row r="103">
          <cell r="B103">
            <v>33907</v>
          </cell>
          <cell r="G103">
            <v>16636.294093031865</v>
          </cell>
          <cell r="J103">
            <v>20139.646790151968</v>
          </cell>
        </row>
        <row r="104">
          <cell r="B104">
            <v>33938</v>
          </cell>
          <cell r="G104">
            <v>16872.776177309472</v>
          </cell>
          <cell r="J104">
            <v>20139.646790151968</v>
          </cell>
        </row>
        <row r="105">
          <cell r="B105">
            <v>33969</v>
          </cell>
          <cell r="G105">
            <v>17537.962173763139</v>
          </cell>
          <cell r="J105">
            <v>21028.199617945982</v>
          </cell>
        </row>
        <row r="106">
          <cell r="B106">
            <v>33998</v>
          </cell>
          <cell r="G106">
            <v>17342.27698857187</v>
          </cell>
          <cell r="J106">
            <v>21028.199617945982</v>
          </cell>
        </row>
        <row r="107">
          <cell r="B107">
            <v>34026</v>
          </cell>
          <cell r="G107">
            <v>17616.428511873451</v>
          </cell>
          <cell r="J107">
            <v>21028.199617945982</v>
          </cell>
        </row>
        <row r="108">
          <cell r="B108">
            <v>34059</v>
          </cell>
          <cell r="G108">
            <v>19158.078230296855</v>
          </cell>
          <cell r="J108">
            <v>21628.199617945982</v>
          </cell>
        </row>
        <row r="109">
          <cell r="B109">
            <v>34089</v>
          </cell>
          <cell r="G109">
            <v>19928.011834698191</v>
          </cell>
          <cell r="J109">
            <v>21628.199617945982</v>
          </cell>
        </row>
        <row r="110">
          <cell r="B110">
            <v>34120</v>
          </cell>
          <cell r="G110">
            <v>20287.058360864223</v>
          </cell>
          <cell r="J110">
            <v>21628.199617945982</v>
          </cell>
        </row>
        <row r="111">
          <cell r="B111">
            <v>34150</v>
          </cell>
          <cell r="G111">
            <v>20665.769355569293</v>
          </cell>
          <cell r="J111">
            <v>22228.199617945982</v>
          </cell>
        </row>
        <row r="112">
          <cell r="B112">
            <v>34180</v>
          </cell>
          <cell r="G112">
            <v>20963.037435755698</v>
          </cell>
          <cell r="J112">
            <v>22228.199617945982</v>
          </cell>
        </row>
        <row r="113">
          <cell r="B113">
            <v>34212</v>
          </cell>
          <cell r="G113">
            <v>21834.15466228376</v>
          </cell>
          <cell r="J113">
            <v>22228.199617945982</v>
          </cell>
        </row>
        <row r="114">
          <cell r="B114">
            <v>34242</v>
          </cell>
          <cell r="G114">
            <v>21964.65803923591</v>
          </cell>
          <cell r="J114">
            <v>22828.199617945982</v>
          </cell>
        </row>
        <row r="115">
          <cell r="B115">
            <v>34271</v>
          </cell>
          <cell r="G115">
            <v>22444.656097764913</v>
          </cell>
          <cell r="J115">
            <v>22828.199617945982</v>
          </cell>
        </row>
        <row r="116">
          <cell r="B116">
            <v>34303</v>
          </cell>
          <cell r="G116">
            <v>21038.866295918015</v>
          </cell>
          <cell r="J116">
            <v>22828.199617945982</v>
          </cell>
        </row>
        <row r="117">
          <cell r="B117">
            <v>34334</v>
          </cell>
          <cell r="G117">
            <v>22606.880100966864</v>
          </cell>
          <cell r="J117">
            <v>23757.080738156907</v>
          </cell>
        </row>
        <row r="118">
          <cell r="B118">
            <v>34365</v>
          </cell>
          <cell r="G118">
            <v>23801.879780569099</v>
          </cell>
          <cell r="J118">
            <v>23757.080738156907</v>
          </cell>
        </row>
        <row r="119">
          <cell r="B119">
            <v>34393</v>
          </cell>
          <cell r="G119">
            <v>23360.070409066208</v>
          </cell>
          <cell r="J119">
            <v>23757.080738156907</v>
          </cell>
        </row>
        <row r="120">
          <cell r="B120">
            <v>34424</v>
          </cell>
          <cell r="G120">
            <v>22896.899884118615</v>
          </cell>
          <cell r="J120">
            <v>24357.080738156907</v>
          </cell>
        </row>
        <row r="121">
          <cell r="B121">
            <v>34453</v>
          </cell>
          <cell r="G121">
            <v>23466.649873900871</v>
          </cell>
          <cell r="J121">
            <v>24357.080738156907</v>
          </cell>
        </row>
        <row r="122">
          <cell r="B122">
            <v>34485</v>
          </cell>
          <cell r="G122">
            <v>23468.998532255981</v>
          </cell>
          <cell r="J122">
            <v>24357.080738156907</v>
          </cell>
        </row>
        <row r="123">
          <cell r="B123">
            <v>34515</v>
          </cell>
          <cell r="G123">
            <v>23965.683826270808</v>
          </cell>
          <cell r="J123">
            <v>24957.080738156907</v>
          </cell>
        </row>
        <row r="124">
          <cell r="B124">
            <v>34544</v>
          </cell>
          <cell r="G124">
            <v>24374.611309902542</v>
          </cell>
          <cell r="J124">
            <v>24957.080738156907</v>
          </cell>
        </row>
        <row r="125">
          <cell r="B125">
            <v>34577</v>
          </cell>
          <cell r="G125">
            <v>25056.791332573801</v>
          </cell>
          <cell r="J125">
            <v>24957.080738156907</v>
          </cell>
        </row>
        <row r="126">
          <cell r="B126">
            <v>34607</v>
          </cell>
          <cell r="G126">
            <v>24970.610779371014</v>
          </cell>
          <cell r="J126">
            <v>25557.080738156907</v>
          </cell>
        </row>
        <row r="127">
          <cell r="B127">
            <v>34638</v>
          </cell>
          <cell r="G127">
            <v>25576.377350275245</v>
          </cell>
          <cell r="J127">
            <v>25557.080738156907</v>
          </cell>
        </row>
        <row r="128">
          <cell r="B128">
            <v>34668</v>
          </cell>
          <cell r="G128">
            <v>24413.886428562491</v>
          </cell>
          <cell r="J128">
            <v>25557.080738156907</v>
          </cell>
        </row>
        <row r="129">
          <cell r="B129">
            <v>34698</v>
          </cell>
          <cell r="G129">
            <v>25169.797963826459</v>
          </cell>
          <cell r="J129">
            <v>26526.895075170993</v>
          </cell>
        </row>
        <row r="130">
          <cell r="B130">
            <v>34730</v>
          </cell>
          <cell r="G130">
            <v>24436.562381111355</v>
          </cell>
          <cell r="J130">
            <v>26526.895075170993</v>
          </cell>
        </row>
        <row r="131">
          <cell r="B131">
            <v>34758</v>
          </cell>
          <cell r="G131">
            <v>24646.366115447676</v>
          </cell>
          <cell r="J131">
            <v>26526.895075170993</v>
          </cell>
        </row>
        <row r="132">
          <cell r="B132">
            <v>34789</v>
          </cell>
          <cell r="G132">
            <v>26308.609831075279</v>
          </cell>
          <cell r="J132">
            <v>27126.895075170993</v>
          </cell>
        </row>
        <row r="133">
          <cell r="B133">
            <v>34817</v>
          </cell>
          <cell r="G133">
            <v>27102.593888454969</v>
          </cell>
          <cell r="J133">
            <v>27126.895075170993</v>
          </cell>
        </row>
        <row r="134">
          <cell r="B134">
            <v>34850</v>
          </cell>
          <cell r="G134">
            <v>27349.412832721366</v>
          </cell>
          <cell r="J134">
            <v>27126.895075170993</v>
          </cell>
        </row>
        <row r="135">
          <cell r="B135">
            <v>34880</v>
          </cell>
          <cell r="G135">
            <v>27993.246951610534</v>
          </cell>
          <cell r="J135">
            <v>27726.895075170993</v>
          </cell>
        </row>
        <row r="136">
          <cell r="B136">
            <v>34911</v>
          </cell>
          <cell r="G136">
            <v>29378.013422731663</v>
          </cell>
          <cell r="J136">
            <v>27726.895075170993</v>
          </cell>
        </row>
        <row r="137">
          <cell r="B137">
            <v>34942</v>
          </cell>
          <cell r="G137">
            <v>28598.583422531239</v>
          </cell>
          <cell r="J137">
            <v>27726.895075170993</v>
          </cell>
        </row>
        <row r="138">
          <cell r="B138">
            <v>34971</v>
          </cell>
          <cell r="G138">
            <v>29985.519610545376</v>
          </cell>
          <cell r="J138">
            <v>28326.895075170993</v>
          </cell>
        </row>
        <row r="139">
          <cell r="B139">
            <v>35003</v>
          </cell>
          <cell r="G139">
            <v>29406.041150461962</v>
          </cell>
          <cell r="J139">
            <v>28326.895075170993</v>
          </cell>
        </row>
        <row r="140">
          <cell r="B140">
            <v>35033</v>
          </cell>
          <cell r="G140">
            <v>30399.208939982444</v>
          </cell>
          <cell r="J140">
            <v>28326.895075170993</v>
          </cell>
        </row>
        <row r="141">
          <cell r="B141">
            <v>35062</v>
          </cell>
          <cell r="G141">
            <v>31913.72713941164</v>
          </cell>
          <cell r="J141">
            <v>29338.256627240291</v>
          </cell>
        </row>
        <row r="142">
          <cell r="B142">
            <v>35095</v>
          </cell>
          <cell r="G142">
            <v>32333.64293555708</v>
          </cell>
          <cell r="J142">
            <v>29338.256627240291</v>
          </cell>
        </row>
        <row r="143">
          <cell r="B143">
            <v>35124</v>
          </cell>
          <cell r="G143">
            <v>32333.809387198016</v>
          </cell>
          <cell r="J143">
            <v>29338.256627240291</v>
          </cell>
        </row>
        <row r="144">
          <cell r="B144">
            <v>35153</v>
          </cell>
          <cell r="G144">
            <v>33349.315203673716</v>
          </cell>
          <cell r="J144">
            <v>29938.256627240291</v>
          </cell>
        </row>
        <row r="145">
          <cell r="B145">
            <v>35185</v>
          </cell>
          <cell r="G145">
            <v>33854.700779386621</v>
          </cell>
          <cell r="J145">
            <v>29938.256627240291</v>
          </cell>
        </row>
        <row r="146">
          <cell r="B146">
            <v>35216</v>
          </cell>
          <cell r="G146">
            <v>33750.050037907677</v>
          </cell>
          <cell r="J146">
            <v>29938.256627240291</v>
          </cell>
        </row>
        <row r="147">
          <cell r="B147">
            <v>35244</v>
          </cell>
          <cell r="G147">
            <v>34529.671939991553</v>
          </cell>
          <cell r="J147">
            <v>30538.256627240291</v>
          </cell>
        </row>
        <row r="148">
          <cell r="B148">
            <v>35277</v>
          </cell>
          <cell r="G148">
            <v>33253.18513394722</v>
          </cell>
          <cell r="J148">
            <v>30538.256627240291</v>
          </cell>
        </row>
        <row r="149">
          <cell r="B149">
            <v>35307</v>
          </cell>
          <cell r="G149">
            <v>33530.335564635316</v>
          </cell>
          <cell r="J149">
            <v>30538.256627240291</v>
          </cell>
        </row>
        <row r="150">
          <cell r="B150">
            <v>35338</v>
          </cell>
          <cell r="G150">
            <v>35439.847032922735</v>
          </cell>
          <cell r="J150">
            <v>31138.256627240291</v>
          </cell>
        </row>
        <row r="151">
          <cell r="B151">
            <v>35369</v>
          </cell>
          <cell r="G151">
            <v>35699.90311160378</v>
          </cell>
          <cell r="J151">
            <v>31138.256627240291</v>
          </cell>
        </row>
        <row r="152">
          <cell r="B152">
            <v>35398</v>
          </cell>
          <cell r="G152">
            <v>37623.905112046479</v>
          </cell>
          <cell r="J152">
            <v>31138.256627240291</v>
          </cell>
        </row>
        <row r="153">
          <cell r="B153">
            <v>35430</v>
          </cell>
          <cell r="G153">
            <v>37596.68549491372</v>
          </cell>
          <cell r="J153">
            <v>32191.788602590626</v>
          </cell>
        </row>
        <row r="154">
          <cell r="B154">
            <v>35461</v>
          </cell>
          <cell r="G154">
            <v>37813.355031481857</v>
          </cell>
          <cell r="J154">
            <v>32191.788602590626</v>
          </cell>
        </row>
        <row r="155">
          <cell r="B155">
            <v>35489</v>
          </cell>
          <cell r="G155">
            <v>38176.307035214289</v>
          </cell>
          <cell r="J155">
            <v>32191.788602590626</v>
          </cell>
        </row>
        <row r="156">
          <cell r="B156">
            <v>35520</v>
          </cell>
          <cell r="G156">
            <v>37964.979237901447</v>
          </cell>
          <cell r="J156">
            <v>32791.788602590626</v>
          </cell>
        </row>
        <row r="157">
          <cell r="B157">
            <v>35550</v>
          </cell>
          <cell r="G157">
            <v>39135.869095536909</v>
          </cell>
          <cell r="J157">
            <v>32791.788602590626</v>
          </cell>
        </row>
        <row r="158">
          <cell r="B158">
            <v>35580</v>
          </cell>
          <cell r="G158">
            <v>41293.463114652011</v>
          </cell>
          <cell r="J158">
            <v>32791.788602590626</v>
          </cell>
        </row>
        <row r="159">
          <cell r="B159">
            <v>35611</v>
          </cell>
          <cell r="G159">
            <v>44060.277471328191</v>
          </cell>
          <cell r="J159">
            <v>33391.788602590626</v>
          </cell>
        </row>
        <row r="160">
          <cell r="B160">
            <v>35642</v>
          </cell>
          <cell r="G160">
            <v>46069.523257578119</v>
          </cell>
          <cell r="J160">
            <v>33391.788602590626</v>
          </cell>
        </row>
        <row r="161">
          <cell r="B161">
            <v>35671</v>
          </cell>
          <cell r="G161">
            <v>42775.437977322435</v>
          </cell>
          <cell r="J161">
            <v>33391.788602590626</v>
          </cell>
        </row>
        <row r="162">
          <cell r="B162">
            <v>35703</v>
          </cell>
          <cell r="G162">
            <v>45720.382863080282</v>
          </cell>
          <cell r="J162">
            <v>33991.788602590626</v>
          </cell>
        </row>
        <row r="163">
          <cell r="B163">
            <v>35734</v>
          </cell>
          <cell r="G163">
            <v>43330.086973194491</v>
          </cell>
          <cell r="J163">
            <v>33991.788602590626</v>
          </cell>
        </row>
        <row r="164">
          <cell r="B164">
            <v>35762</v>
          </cell>
          <cell r="G164">
            <v>43915.041458565152</v>
          </cell>
          <cell r="J164">
            <v>33991.788602590626</v>
          </cell>
        </row>
        <row r="165">
          <cell r="B165">
            <v>35795</v>
          </cell>
          <cell r="G165">
            <v>44938.41876955628</v>
          </cell>
          <cell r="J165">
            <v>35088.12355757122</v>
          </cell>
        </row>
        <row r="166">
          <cell r="B166">
            <v>35825</v>
          </cell>
          <cell r="G166">
            <v>46121.063386079251</v>
          </cell>
          <cell r="J166">
            <v>35088.12355757122</v>
          </cell>
        </row>
        <row r="167">
          <cell r="B167">
            <v>35853</v>
          </cell>
          <cell r="G167">
            <v>49255.55035721579</v>
          </cell>
          <cell r="J167">
            <v>35088.12355757122</v>
          </cell>
        </row>
        <row r="168">
          <cell r="B168">
            <v>35885</v>
          </cell>
          <cell r="G168">
            <v>51789.840128781478</v>
          </cell>
          <cell r="J168">
            <v>35688.12355757122</v>
          </cell>
        </row>
        <row r="169">
          <cell r="B169">
            <v>35915</v>
          </cell>
          <cell r="G169">
            <v>51917.334218474498</v>
          </cell>
          <cell r="J169">
            <v>35688.12355757122</v>
          </cell>
        </row>
        <row r="170">
          <cell r="B170">
            <v>35944</v>
          </cell>
          <cell r="G170">
            <v>50941.52330663352</v>
          </cell>
          <cell r="J170">
            <v>35688.12355757122</v>
          </cell>
        </row>
        <row r="171">
          <cell r="B171">
            <v>35976</v>
          </cell>
          <cell r="G171">
            <v>52675.889542332872</v>
          </cell>
          <cell r="J171">
            <v>36288.12355757122</v>
          </cell>
        </row>
        <row r="172">
          <cell r="B172">
            <v>36007</v>
          </cell>
          <cell r="G172">
            <v>52474.399026554907</v>
          </cell>
          <cell r="J172">
            <v>36288.12355757122</v>
          </cell>
        </row>
        <row r="173">
          <cell r="B173">
            <v>36038</v>
          </cell>
          <cell r="G173">
            <v>45461.167884227041</v>
          </cell>
          <cell r="J173">
            <v>36288.12355757122</v>
          </cell>
        </row>
        <row r="174">
          <cell r="B174">
            <v>36068</v>
          </cell>
          <cell r="G174">
            <v>46912.684273868777</v>
          </cell>
          <cell r="J174">
            <v>36888.12355757122</v>
          </cell>
        </row>
        <row r="175">
          <cell r="B175">
            <v>36098</v>
          </cell>
          <cell r="G175">
            <v>50963.458300300292</v>
          </cell>
          <cell r="J175">
            <v>36888.12355757122</v>
          </cell>
        </row>
        <row r="176">
          <cell r="B176">
            <v>36129</v>
          </cell>
          <cell r="G176">
            <v>53721.828206322367</v>
          </cell>
          <cell r="J176">
            <v>36888.12355757122</v>
          </cell>
        </row>
        <row r="177">
          <cell r="B177">
            <v>36160</v>
          </cell>
          <cell r="G177">
            <v>56740.146512212224</v>
          </cell>
          <cell r="J177">
            <v>38027.903536876518</v>
          </cell>
        </row>
        <row r="178">
          <cell r="B178">
            <v>36189</v>
          </cell>
          <cell r="G178">
            <v>58165.766213135037</v>
          </cell>
          <cell r="J178">
            <v>38027.903536876518</v>
          </cell>
        </row>
        <row r="179">
          <cell r="B179">
            <v>36217</v>
          </cell>
          <cell r="G179">
            <v>56591.84408955618</v>
          </cell>
          <cell r="J179">
            <v>38027.903536876518</v>
          </cell>
        </row>
        <row r="180">
          <cell r="B180">
            <v>36250</v>
          </cell>
          <cell r="G180">
            <v>59289.00147359298</v>
          </cell>
          <cell r="J180">
            <v>38627.903536876518</v>
          </cell>
        </row>
        <row r="181">
          <cell r="B181">
            <v>36280</v>
          </cell>
          <cell r="G181">
            <v>61228.33076377985</v>
          </cell>
          <cell r="J181">
            <v>38627.903536876518</v>
          </cell>
        </row>
        <row r="182">
          <cell r="B182">
            <v>36311</v>
          </cell>
          <cell r="G182">
            <v>58912.839014443758</v>
          </cell>
          <cell r="J182">
            <v>38627.903536876518</v>
          </cell>
        </row>
        <row r="183">
          <cell r="B183">
            <v>36341</v>
          </cell>
          <cell r="G183">
            <v>62157.959158094047</v>
          </cell>
          <cell r="J183">
            <v>39227.903536876518</v>
          </cell>
        </row>
        <row r="184">
          <cell r="B184">
            <v>36371</v>
          </cell>
          <cell r="G184">
            <v>61976.917207025886</v>
          </cell>
          <cell r="J184">
            <v>39227.903536876518</v>
          </cell>
        </row>
        <row r="185">
          <cell r="B185">
            <v>36403</v>
          </cell>
          <cell r="G185">
            <v>61954.921041726739</v>
          </cell>
          <cell r="J185">
            <v>39227.903536876518</v>
          </cell>
        </row>
        <row r="186">
          <cell r="B186">
            <v>36433</v>
          </cell>
          <cell r="G186">
            <v>61959.449328850475</v>
          </cell>
          <cell r="J186">
            <v>39827.903536876518</v>
          </cell>
        </row>
        <row r="187">
          <cell r="B187">
            <v>36462</v>
          </cell>
          <cell r="G187">
            <v>64993.011716824534</v>
          </cell>
          <cell r="J187">
            <v>39827.903536876518</v>
          </cell>
        </row>
        <row r="188">
          <cell r="B188">
            <v>36494</v>
          </cell>
          <cell r="G188">
            <v>66425.869060235447</v>
          </cell>
          <cell r="J188">
            <v>39827.903536876518</v>
          </cell>
        </row>
        <row r="189">
          <cell r="B189">
            <v>36525</v>
          </cell>
          <cell r="G189">
            <v>72215.964848447344</v>
          </cell>
          <cell r="J189">
            <v>41011.780215871397</v>
          </cell>
        </row>
        <row r="190">
          <cell r="B190">
            <v>36556</v>
          </cell>
          <cell r="G190">
            <v>68205.719973222993</v>
          </cell>
          <cell r="J190">
            <v>41011.780215871397</v>
          </cell>
        </row>
        <row r="191">
          <cell r="B191">
            <v>36585</v>
          </cell>
          <cell r="G191">
            <v>68537.785623163101</v>
          </cell>
          <cell r="J191">
            <v>41011.780215871397</v>
          </cell>
        </row>
        <row r="192">
          <cell r="B192">
            <v>36616</v>
          </cell>
          <cell r="G192">
            <v>73756.05024996365</v>
          </cell>
          <cell r="J192">
            <v>41611.780215871397</v>
          </cell>
        </row>
        <row r="193">
          <cell r="B193">
            <v>36644</v>
          </cell>
          <cell r="G193">
            <v>69814.940339417793</v>
          </cell>
          <cell r="J193">
            <v>41611.780215871397</v>
          </cell>
        </row>
        <row r="194">
          <cell r="B194">
            <v>36677</v>
          </cell>
          <cell r="G194">
            <v>67657.989227050653</v>
          </cell>
          <cell r="J194">
            <v>41611.780215871397</v>
          </cell>
        </row>
        <row r="195">
          <cell r="B195">
            <v>36707</v>
          </cell>
          <cell r="G195">
            <v>70179.652103249275</v>
          </cell>
          <cell r="J195">
            <v>42211.780215871397</v>
          </cell>
        </row>
        <row r="196">
          <cell r="B196">
            <v>36738</v>
          </cell>
          <cell r="G196">
            <v>67972.178728102241</v>
          </cell>
          <cell r="J196">
            <v>42211.780215871397</v>
          </cell>
        </row>
        <row r="197">
          <cell r="B197">
            <v>36769</v>
          </cell>
          <cell r="G197">
            <v>70147.352669569853</v>
          </cell>
          <cell r="J197">
            <v>42211.780215871397</v>
          </cell>
        </row>
        <row r="198">
          <cell r="B198">
            <v>36798</v>
          </cell>
          <cell r="G198">
            <v>67069.224438444493</v>
          </cell>
          <cell r="J198">
            <v>42811.780215871397</v>
          </cell>
        </row>
        <row r="199">
          <cell r="B199">
            <v>36830</v>
          </cell>
          <cell r="G199">
            <v>65669.699798460395</v>
          </cell>
          <cell r="J199">
            <v>42811.780215871397</v>
          </cell>
        </row>
        <row r="200">
          <cell r="B200">
            <v>36860</v>
          </cell>
          <cell r="G200">
            <v>61191.012726104695</v>
          </cell>
          <cell r="J200">
            <v>42811.780215871397</v>
          </cell>
        </row>
        <row r="201">
          <cell r="B201">
            <v>36889</v>
          </cell>
          <cell r="G201">
            <v>62542.322216970075</v>
          </cell>
          <cell r="J201">
            <v>44040.415045051195</v>
          </cell>
        </row>
        <row r="202">
          <cell r="B202">
            <v>36922</v>
          </cell>
          <cell r="G202">
            <v>63513.016748186528</v>
          </cell>
          <cell r="J202">
            <v>44040.415045051195</v>
          </cell>
        </row>
        <row r="203">
          <cell r="B203">
            <v>36950</v>
          </cell>
          <cell r="G203">
            <v>58066.91249040173</v>
          </cell>
          <cell r="J203">
            <v>44040.415045051195</v>
          </cell>
        </row>
        <row r="204">
          <cell r="B204">
            <v>36980</v>
          </cell>
          <cell r="G204">
            <v>54606.178143465811</v>
          </cell>
          <cell r="J204">
            <v>44640.415045051195</v>
          </cell>
        </row>
        <row r="205">
          <cell r="B205">
            <v>37011</v>
          </cell>
          <cell r="G205">
            <v>58302.298518169737</v>
          </cell>
          <cell r="J205">
            <v>44640.415045051195</v>
          </cell>
        </row>
        <row r="206">
          <cell r="B206">
            <v>37042</v>
          </cell>
          <cell r="G206">
            <v>57065.430238571527</v>
          </cell>
          <cell r="J206">
            <v>44640.415045051195</v>
          </cell>
        </row>
        <row r="207">
          <cell r="B207">
            <v>37071</v>
          </cell>
          <cell r="G207">
            <v>55725.682268203345</v>
          </cell>
          <cell r="J207">
            <v>45240.415045051195</v>
          </cell>
        </row>
        <row r="208">
          <cell r="B208">
            <v>37103</v>
          </cell>
          <cell r="G208">
            <v>54919.002486811165</v>
          </cell>
          <cell r="J208">
            <v>45240.415045051195</v>
          </cell>
        </row>
        <row r="209">
          <cell r="B209">
            <v>37134</v>
          </cell>
          <cell r="G209">
            <v>52375.734427764422</v>
          </cell>
          <cell r="J209">
            <v>45240.415045051195</v>
          </cell>
        </row>
        <row r="210">
          <cell r="B210">
            <v>37162</v>
          </cell>
          <cell r="G210">
            <v>48370.319616702269</v>
          </cell>
          <cell r="J210">
            <v>45840.415045051195</v>
          </cell>
        </row>
        <row r="211">
          <cell r="B211">
            <v>37195</v>
          </cell>
          <cell r="G211">
            <v>49103.709346651696</v>
          </cell>
          <cell r="J211">
            <v>45840.415045051195</v>
          </cell>
        </row>
        <row r="212">
          <cell r="B212">
            <v>37225</v>
          </cell>
          <cell r="G212">
            <v>51657.831349193861</v>
          </cell>
          <cell r="J212">
            <v>45840.415045051195</v>
          </cell>
        </row>
        <row r="213">
          <cell r="B213">
            <v>37256</v>
          </cell>
          <cell r="G213">
            <v>52475.57335559935</v>
          </cell>
          <cell r="J213">
            <v>47114.479396668692</v>
          </cell>
        </row>
        <row r="214">
          <cell r="B214">
            <v>37287</v>
          </cell>
          <cell r="G214">
            <v>50799.195232315171</v>
          </cell>
          <cell r="J214">
            <v>47114.479396668692</v>
          </cell>
        </row>
        <row r="215">
          <cell r="B215">
            <v>37315</v>
          </cell>
          <cell r="G215">
            <v>50439.407206643336</v>
          </cell>
          <cell r="J215">
            <v>47114.479396668692</v>
          </cell>
        </row>
        <row r="216">
          <cell r="B216">
            <v>37344</v>
          </cell>
          <cell r="G216">
            <v>53035.094973111671</v>
          </cell>
          <cell r="J216">
            <v>47714.479396668692</v>
          </cell>
        </row>
        <row r="217">
          <cell r="B217">
            <v>37376</v>
          </cell>
          <cell r="G217">
            <v>50819.894825207455</v>
          </cell>
          <cell r="J217">
            <v>47714.479396668692</v>
          </cell>
        </row>
        <row r="218">
          <cell r="B218">
            <v>37407</v>
          </cell>
          <cell r="G218">
            <v>50570.91952499027</v>
          </cell>
          <cell r="J218">
            <v>47714.479396668692</v>
          </cell>
        </row>
        <row r="219">
          <cell r="B219">
            <v>37435</v>
          </cell>
          <cell r="G219">
            <v>47941.042136184675</v>
          </cell>
          <cell r="J219">
            <v>48314.479396668692</v>
          </cell>
        </row>
        <row r="220">
          <cell r="B220">
            <v>37468</v>
          </cell>
          <cell r="G220">
            <v>43820.738762404006</v>
          </cell>
          <cell r="J220">
            <v>48314.479396668692</v>
          </cell>
        </row>
        <row r="221">
          <cell r="B221">
            <v>37498</v>
          </cell>
          <cell r="G221">
            <v>43863.227408194922</v>
          </cell>
          <cell r="J221">
            <v>48314.479396668692</v>
          </cell>
        </row>
        <row r="222">
          <cell r="B222">
            <v>37529</v>
          </cell>
          <cell r="G222">
            <v>39656.792784895435</v>
          </cell>
          <cell r="J222">
            <v>48914.479396668692</v>
          </cell>
        </row>
        <row r="223">
          <cell r="B223">
            <v>37560</v>
          </cell>
          <cell r="G223">
            <v>42306.108430925437</v>
          </cell>
          <cell r="J223">
            <v>48914.479396668692</v>
          </cell>
        </row>
        <row r="224">
          <cell r="B224">
            <v>37589</v>
          </cell>
          <cell r="G224">
            <v>44259.75275673627</v>
          </cell>
          <cell r="J224">
            <v>48914.479396668692</v>
          </cell>
        </row>
        <row r="225">
          <cell r="B225">
            <v>37621</v>
          </cell>
          <cell r="G225">
            <v>42651.293149848003</v>
          </cell>
          <cell r="J225">
            <v>50234.654713560449</v>
          </cell>
        </row>
        <row r="226">
          <cell r="B226">
            <v>37652</v>
          </cell>
          <cell r="G226">
            <v>41290.547143539654</v>
          </cell>
          <cell r="J226">
            <v>50234.654713560449</v>
          </cell>
        </row>
        <row r="227">
          <cell r="B227">
            <v>37680</v>
          </cell>
          <cell r="G227">
            <v>40574.385356548919</v>
          </cell>
          <cell r="J227">
            <v>50234.654713560449</v>
          </cell>
        </row>
        <row r="228">
          <cell r="B228">
            <v>37711</v>
          </cell>
          <cell r="G228">
            <v>41012.138739182032</v>
          </cell>
          <cell r="J228">
            <v>50834.654713560449</v>
          </cell>
        </row>
        <row r="229">
          <cell r="B229">
            <v>37741</v>
          </cell>
          <cell r="G229">
            <v>44305.873847064082</v>
          </cell>
          <cell r="J229">
            <v>50834.654713560449</v>
          </cell>
        </row>
        <row r="230">
          <cell r="B230">
            <v>37771</v>
          </cell>
          <cell r="G230">
            <v>46566.138578264341</v>
          </cell>
          <cell r="J230">
            <v>50834.654713560449</v>
          </cell>
        </row>
        <row r="231">
          <cell r="B231">
            <v>37802</v>
          </cell>
          <cell r="G231">
            <v>47968.483000391869</v>
          </cell>
          <cell r="J231">
            <v>51434.654713560449</v>
          </cell>
        </row>
        <row r="232">
          <cell r="B232">
            <v>37833</v>
          </cell>
          <cell r="G232">
            <v>49080.946718664905</v>
          </cell>
          <cell r="J232">
            <v>51434.654713560449</v>
          </cell>
        </row>
        <row r="233">
          <cell r="B233">
            <v>37862</v>
          </cell>
          <cell r="G233">
            <v>50110.949188565108</v>
          </cell>
          <cell r="J233">
            <v>51434.654713560449</v>
          </cell>
        </row>
        <row r="234">
          <cell r="B234">
            <v>37894</v>
          </cell>
          <cell r="G234">
            <v>50917.148401037644</v>
          </cell>
          <cell r="J234">
            <v>52034.654713560449</v>
          </cell>
        </row>
        <row r="235">
          <cell r="B235">
            <v>37925</v>
          </cell>
          <cell r="G235">
            <v>53642.104404416903</v>
          </cell>
          <cell r="J235">
            <v>52034.654713560449</v>
          </cell>
        </row>
        <row r="236">
          <cell r="B236">
            <v>37953</v>
          </cell>
          <cell r="G236">
            <v>54302.206511098906</v>
          </cell>
          <cell r="J236">
            <v>52034.654713560449</v>
          </cell>
        </row>
        <row r="237">
          <cell r="B237">
            <v>37986</v>
          </cell>
          <cell r="G237">
            <v>58271.49374850851</v>
          </cell>
          <cell r="J237">
            <v>53401.632660205585</v>
          </cell>
        </row>
        <row r="238">
          <cell r="B238">
            <v>38016</v>
          </cell>
          <cell r="G238">
            <v>59202.95640713421</v>
          </cell>
          <cell r="J238">
            <v>53401.632660205585</v>
          </cell>
        </row>
        <row r="239">
          <cell r="B239">
            <v>38044</v>
          </cell>
          <cell r="G239">
            <v>60285.652564966636</v>
          </cell>
          <cell r="J239">
            <v>53401.632660205585</v>
          </cell>
        </row>
        <row r="240">
          <cell r="B240">
            <v>38077</v>
          </cell>
          <cell r="G240">
            <v>60347.493023239396</v>
          </cell>
          <cell r="J240">
            <v>54001.632660205585</v>
          </cell>
        </row>
        <row r="241">
          <cell r="B241">
            <v>38107</v>
          </cell>
          <cell r="G241">
            <v>58612.980233180831</v>
          </cell>
          <cell r="J241">
            <v>54001.632660205585</v>
          </cell>
        </row>
        <row r="242">
          <cell r="B242">
            <v>38138</v>
          </cell>
          <cell r="G242">
            <v>58762.726624360577</v>
          </cell>
          <cell r="J242">
            <v>54001.632660205585</v>
          </cell>
        </row>
        <row r="243">
          <cell r="B243">
            <v>38168</v>
          </cell>
          <cell r="G243">
            <v>60434.515124175894</v>
          </cell>
          <cell r="J243">
            <v>54601.632660205585</v>
          </cell>
        </row>
        <row r="244">
          <cell r="B244">
            <v>38198</v>
          </cell>
          <cell r="G244">
            <v>58571.989279249312</v>
          </cell>
          <cell r="J244">
            <v>54601.632660205585</v>
          </cell>
        </row>
        <row r="245">
          <cell r="B245">
            <v>38230</v>
          </cell>
          <cell r="G245">
            <v>59034.752811139879</v>
          </cell>
          <cell r="J245">
            <v>54601.632660205585</v>
          </cell>
        </row>
        <row r="246">
          <cell r="B246">
            <v>38260</v>
          </cell>
          <cell r="G246">
            <v>60799.420946385122</v>
          </cell>
          <cell r="J246">
            <v>55201.632660205585</v>
          </cell>
        </row>
        <row r="247">
          <cell r="B247">
            <v>38289</v>
          </cell>
          <cell r="G247">
            <v>61887.960650415967</v>
          </cell>
          <cell r="J247">
            <v>55201.632660205585</v>
          </cell>
        </row>
        <row r="248">
          <cell r="B248">
            <v>38321</v>
          </cell>
          <cell r="G248">
            <v>64784.923677901766</v>
          </cell>
          <cell r="J248">
            <v>55201.632660205585</v>
          </cell>
        </row>
        <row r="249">
          <cell r="B249">
            <v>38352</v>
          </cell>
          <cell r="G249">
            <v>67805.892167726532</v>
          </cell>
          <cell r="J249">
            <v>56616.115276050397</v>
          </cell>
        </row>
        <row r="250">
          <cell r="B250">
            <v>38383</v>
          </cell>
          <cell r="G250">
            <v>66581.568098332777</v>
          </cell>
          <cell r="J250">
            <v>56616.115276050397</v>
          </cell>
        </row>
        <row r="251">
          <cell r="B251">
            <v>38411</v>
          </cell>
          <cell r="G251">
            <v>68719.897775780162</v>
          </cell>
          <cell r="J251">
            <v>56616.115276050397</v>
          </cell>
        </row>
        <row r="252">
          <cell r="B252">
            <v>38442</v>
          </cell>
          <cell r="G252">
            <v>67756.330713114308</v>
          </cell>
          <cell r="J252">
            <v>57216.115276050397</v>
          </cell>
        </row>
        <row r="253">
          <cell r="B253">
            <v>38471</v>
          </cell>
          <cell r="G253">
            <v>65832.11531843539</v>
          </cell>
          <cell r="J253">
            <v>57216.115276050397</v>
          </cell>
        </row>
        <row r="254">
          <cell r="B254">
            <v>38503</v>
          </cell>
          <cell r="G254">
            <v>66723.793579714649</v>
          </cell>
          <cell r="J254">
            <v>57216.115276050397</v>
          </cell>
        </row>
        <row r="255">
          <cell r="B255">
            <v>38533</v>
          </cell>
          <cell r="G255">
            <v>67884.709700042746</v>
          </cell>
          <cell r="J255">
            <v>57816.115276050397</v>
          </cell>
        </row>
        <row r="256">
          <cell r="B256">
            <v>38562</v>
          </cell>
          <cell r="G256">
            <v>70045.248864411435</v>
          </cell>
          <cell r="J256">
            <v>57816.115276050397</v>
          </cell>
        </row>
        <row r="257">
          <cell r="B257">
            <v>38595</v>
          </cell>
          <cell r="G257">
            <v>70495.47486549156</v>
          </cell>
          <cell r="J257">
            <v>57816.115276050397</v>
          </cell>
        </row>
        <row r="258">
          <cell r="B258">
            <v>38625</v>
          </cell>
          <cell r="G258">
            <v>72787.839694137263</v>
          </cell>
          <cell r="J258">
            <v>58416.115276050397</v>
          </cell>
        </row>
        <row r="259">
          <cell r="B259">
            <v>38656</v>
          </cell>
          <cell r="G259">
            <v>70691.274136701613</v>
          </cell>
          <cell r="J259">
            <v>58416.115276050397</v>
          </cell>
        </row>
        <row r="260">
          <cell r="B260">
            <v>38686</v>
          </cell>
          <cell r="G260">
            <v>72741.456558439168</v>
          </cell>
          <cell r="J260">
            <v>58416.115276050397</v>
          </cell>
        </row>
        <row r="261">
          <cell r="B261">
            <v>38716</v>
          </cell>
          <cell r="G261">
            <v>74879.894327982096</v>
          </cell>
          <cell r="J261">
            <v>59878.815131132877</v>
          </cell>
        </row>
        <row r="262">
          <cell r="B262">
            <v>38748</v>
          </cell>
          <cell r="G262">
            <v>78487.415514383174</v>
          </cell>
          <cell r="J262">
            <v>59878.815131132877</v>
          </cell>
        </row>
        <row r="263">
          <cell r="B263">
            <v>38776</v>
          </cell>
          <cell r="G263">
            <v>78209.926260897366</v>
          </cell>
          <cell r="J263">
            <v>59878.815131132877</v>
          </cell>
        </row>
        <row r="264">
          <cell r="B264">
            <v>38807</v>
          </cell>
          <cell r="G264">
            <v>79533.59796708246</v>
          </cell>
          <cell r="J264">
            <v>60478.815131132877</v>
          </cell>
        </row>
        <row r="265">
          <cell r="B265">
            <v>38835</v>
          </cell>
          <cell r="G265">
            <v>81526.983275531791</v>
          </cell>
          <cell r="J265">
            <v>60478.815131132877</v>
          </cell>
        </row>
        <row r="266">
          <cell r="B266">
            <v>38868</v>
          </cell>
          <cell r="G266">
            <v>78405.139658084285</v>
          </cell>
          <cell r="J266">
            <v>60478.815131132877</v>
          </cell>
        </row>
        <row r="267">
          <cell r="B267">
            <v>38898</v>
          </cell>
          <cell r="G267">
            <v>79019.040493904031</v>
          </cell>
          <cell r="J267">
            <v>61078.815131132877</v>
          </cell>
        </row>
        <row r="268">
          <cell r="B268">
            <v>38929</v>
          </cell>
          <cell r="G268">
            <v>79697.08441359835</v>
          </cell>
          <cell r="J268">
            <v>61078.815131132877</v>
          </cell>
        </row>
        <row r="269">
          <cell r="B269">
            <v>38960</v>
          </cell>
          <cell r="G269">
            <v>81891.8226983965</v>
          </cell>
          <cell r="J269">
            <v>61078.815131132877</v>
          </cell>
        </row>
        <row r="270">
          <cell r="B270">
            <v>38989</v>
          </cell>
          <cell r="G270">
            <v>83123.818644919855</v>
          </cell>
          <cell r="J270">
            <v>61678.815131132877</v>
          </cell>
        </row>
        <row r="271">
          <cell r="B271">
            <v>39021</v>
          </cell>
          <cell r="G271">
            <v>86113.903517780738</v>
          </cell>
          <cell r="J271">
            <v>61678.815131132877</v>
          </cell>
        </row>
        <row r="272">
          <cell r="B272">
            <v>39051</v>
          </cell>
          <cell r="G272">
            <v>88103.313333425976</v>
          </cell>
          <cell r="J272">
            <v>61678.815131132877</v>
          </cell>
        </row>
        <row r="273">
          <cell r="B273">
            <v>39080</v>
          </cell>
          <cell r="G273">
            <v>90295.978339072346</v>
          </cell>
          <cell r="J273">
            <v>63190.455484041595</v>
          </cell>
        </row>
        <row r="274">
          <cell r="B274">
            <v>39113</v>
          </cell>
          <cell r="G274">
            <v>91612.345679975304</v>
          </cell>
          <cell r="J274">
            <v>63190.455484041595</v>
          </cell>
        </row>
        <row r="275">
          <cell r="B275">
            <v>39141</v>
          </cell>
          <cell r="G275">
            <v>91150.92929238503</v>
          </cell>
          <cell r="J275">
            <v>63190.455484041595</v>
          </cell>
        </row>
        <row r="276">
          <cell r="B276">
            <v>39171</v>
          </cell>
          <cell r="G276">
            <v>92274.751707732823</v>
          </cell>
          <cell r="J276">
            <v>63790.455484041595</v>
          </cell>
        </row>
        <row r="277">
          <cell r="B277">
            <v>39202</v>
          </cell>
          <cell r="G277">
            <v>95471.716593797202</v>
          </cell>
          <cell r="J277">
            <v>63790.455484041595</v>
          </cell>
        </row>
        <row r="278">
          <cell r="B278">
            <v>39233</v>
          </cell>
          <cell r="G278">
            <v>98004.054586466445</v>
          </cell>
          <cell r="J278">
            <v>63790.455484041595</v>
          </cell>
        </row>
        <row r="279">
          <cell r="B279">
            <v>39262</v>
          </cell>
          <cell r="G279">
            <v>97898.129438404605</v>
          </cell>
          <cell r="J279">
            <v>64390.455484041595</v>
          </cell>
        </row>
        <row r="280">
          <cell r="B280">
            <v>39294</v>
          </cell>
          <cell r="G280">
            <v>96007.322148427644</v>
          </cell>
          <cell r="J280">
            <v>64390.455484041595</v>
          </cell>
        </row>
        <row r="281">
          <cell r="B281">
            <v>39325</v>
          </cell>
          <cell r="G281">
            <v>96390.327594368384</v>
          </cell>
          <cell r="J281">
            <v>64390.455484041595</v>
          </cell>
        </row>
        <row r="282">
          <cell r="B282">
            <v>39353</v>
          </cell>
          <cell r="G282">
            <v>101124.26853097032</v>
          </cell>
          <cell r="J282">
            <v>64990.455484041595</v>
          </cell>
        </row>
        <row r="283">
          <cell r="B283">
            <v>39386</v>
          </cell>
          <cell r="G283">
            <v>103655.94751899502</v>
          </cell>
          <cell r="J283">
            <v>64990.455484041595</v>
          </cell>
        </row>
        <row r="284">
          <cell r="B284">
            <v>39416</v>
          </cell>
          <cell r="G284">
            <v>99075.060776579456</v>
          </cell>
          <cell r="J284">
            <v>64990.455484041595</v>
          </cell>
        </row>
        <row r="285">
          <cell r="B285">
            <v>39447</v>
          </cell>
          <cell r="G285">
            <v>98286.345555563079</v>
          </cell>
          <cell r="J285">
            <v>66551.770442243942</v>
          </cell>
        </row>
        <row r="286">
          <cell r="B286">
            <v>39478</v>
          </cell>
          <cell r="G286">
            <v>90889.915410999238</v>
          </cell>
          <cell r="J286">
            <v>66551.770442243942</v>
          </cell>
        </row>
        <row r="287">
          <cell r="B287">
            <v>39507</v>
          </cell>
          <cell r="G287">
            <v>90355.009088913415</v>
          </cell>
          <cell r="J287">
            <v>66551.770442243942</v>
          </cell>
        </row>
        <row r="288">
          <cell r="B288">
            <v>39538</v>
          </cell>
          <cell r="G288">
            <v>88783.431381708535</v>
          </cell>
          <cell r="J288">
            <v>67151.770442243942</v>
          </cell>
        </row>
        <row r="289">
          <cell r="B289">
            <v>39568</v>
          </cell>
          <cell r="G289">
            <v>93158.117808044</v>
          </cell>
          <cell r="J289">
            <v>67151.770442243942</v>
          </cell>
        </row>
        <row r="290">
          <cell r="B290">
            <v>39598</v>
          </cell>
          <cell r="G290">
            <v>94166.070858886203</v>
          </cell>
          <cell r="J290">
            <v>67151.770442243942</v>
          </cell>
        </row>
        <row r="291">
          <cell r="B291">
            <v>39629</v>
          </cell>
          <cell r="G291">
            <v>86823.60175435782</v>
          </cell>
          <cell r="J291">
            <v>67751.770442243942</v>
          </cell>
        </row>
        <row r="292">
          <cell r="B292">
            <v>39660</v>
          </cell>
          <cell r="G292">
            <v>85195.446535171403</v>
          </cell>
          <cell r="J292">
            <v>67751.770442243942</v>
          </cell>
        </row>
        <row r="293">
          <cell r="B293">
            <v>39689</v>
          </cell>
          <cell r="G293">
            <v>84424.819643461393</v>
          </cell>
          <cell r="J293">
            <v>67751.770442243942</v>
          </cell>
        </row>
        <row r="294">
          <cell r="B294">
            <v>39721</v>
          </cell>
          <cell r="G294">
            <v>74588.400101012914</v>
          </cell>
          <cell r="J294">
            <v>68351.770442243942</v>
          </cell>
        </row>
        <row r="295">
          <cell r="B295">
            <v>39752</v>
          </cell>
          <cell r="G295">
            <v>60539.804604879399</v>
          </cell>
          <cell r="J295">
            <v>68351.770442243942</v>
          </cell>
        </row>
        <row r="296">
          <cell r="B296">
            <v>39780</v>
          </cell>
          <cell r="G296">
            <v>56984.439689279461</v>
          </cell>
          <cell r="J296">
            <v>68351.770442243942</v>
          </cell>
        </row>
        <row r="297">
          <cell r="B297">
            <v>39813</v>
          </cell>
          <cell r="G297">
            <v>59694.225847690366</v>
          </cell>
          <cell r="J297">
            <v>69963.505124819319</v>
          </cell>
        </row>
        <row r="298">
          <cell r="B298">
            <v>39843</v>
          </cell>
          <cell r="G298">
            <v>54816.893148574833</v>
          </cell>
          <cell r="J298">
            <v>69963.505124819319</v>
          </cell>
        </row>
        <row r="299">
          <cell r="B299">
            <v>39871</v>
          </cell>
          <cell r="G299">
            <v>49232.062996834058</v>
          </cell>
          <cell r="J299">
            <v>69963.505124819319</v>
          </cell>
        </row>
        <row r="300">
          <cell r="B300">
            <v>39903</v>
          </cell>
          <cell r="G300">
            <v>53127.159692634254</v>
          </cell>
          <cell r="J300">
            <v>70563.505124819319</v>
          </cell>
        </row>
        <row r="301">
          <cell r="B301">
            <v>39933</v>
          </cell>
          <cell r="G301">
            <v>58939.644802654548</v>
          </cell>
          <cell r="J301">
            <v>70563.505124819319</v>
          </cell>
        </row>
        <row r="302">
          <cell r="B302">
            <v>39962</v>
          </cell>
          <cell r="G302">
            <v>64405.871265012902</v>
          </cell>
          <cell r="J302">
            <v>70563.505124819319</v>
          </cell>
        </row>
        <row r="303">
          <cell r="B303">
            <v>39994</v>
          </cell>
          <cell r="G303">
            <v>64667.033515169715</v>
          </cell>
          <cell r="J303">
            <v>71163.505124819319</v>
          </cell>
        </row>
        <row r="304">
          <cell r="B304">
            <v>40025</v>
          </cell>
          <cell r="G304">
            <v>70518.865615274088</v>
          </cell>
          <cell r="J304">
            <v>71163.505124819319</v>
          </cell>
        </row>
        <row r="305">
          <cell r="B305">
            <v>40056</v>
          </cell>
          <cell r="G305">
            <v>73641.546207589548</v>
          </cell>
          <cell r="J305">
            <v>71163.505124819319</v>
          </cell>
        </row>
        <row r="306">
          <cell r="B306">
            <v>40086</v>
          </cell>
          <cell r="G306">
            <v>77029.231069638539</v>
          </cell>
          <cell r="J306">
            <v>71763.505124819319</v>
          </cell>
        </row>
        <row r="307">
          <cell r="B307">
            <v>40116</v>
          </cell>
          <cell r="G307">
            <v>75616.23119135313</v>
          </cell>
          <cell r="J307">
            <v>71763.505124819319</v>
          </cell>
        </row>
        <row r="308">
          <cell r="B308">
            <v>40147</v>
          </cell>
          <cell r="G308">
            <v>78520.921033881896</v>
          </cell>
          <cell r="J308">
            <v>71763.505124819319</v>
          </cell>
        </row>
        <row r="309">
          <cell r="B309">
            <v>40178</v>
          </cell>
          <cell r="G309">
            <v>80475.754894064623</v>
          </cell>
          <cell r="J309">
            <v>73426.415827633333</v>
          </cell>
        </row>
        <row r="310">
          <cell r="B310">
            <v>40207</v>
          </cell>
          <cell r="G310">
            <v>77522.5396013391</v>
          </cell>
          <cell r="J310">
            <v>73426.415827633333</v>
          </cell>
        </row>
        <row r="311">
          <cell r="B311">
            <v>40235</v>
          </cell>
          <cell r="G311">
            <v>78588.944841793869</v>
          </cell>
          <cell r="J311">
            <v>73426.415827633333</v>
          </cell>
        </row>
        <row r="312">
          <cell r="B312">
            <v>40268</v>
          </cell>
          <cell r="G312">
            <v>83098.710287166003</v>
          </cell>
          <cell r="J312">
            <v>74026.415827633333</v>
          </cell>
        </row>
        <row r="313">
          <cell r="B313">
            <v>40298</v>
          </cell>
          <cell r="G313">
            <v>82773.493341475289</v>
          </cell>
          <cell r="J313">
            <v>74026.415827633333</v>
          </cell>
        </row>
        <row r="314">
          <cell r="B314">
            <v>40329</v>
          </cell>
          <cell r="G314">
            <v>74743.51808249118</v>
          </cell>
          <cell r="J314">
            <v>74026.415827633333</v>
          </cell>
        </row>
        <row r="315">
          <cell r="B315">
            <v>40359</v>
          </cell>
          <cell r="G315">
            <v>72643.47345770488</v>
          </cell>
          <cell r="J315">
            <v>74626.415827633333</v>
          </cell>
        </row>
        <row r="316">
          <cell r="B316">
            <v>40389</v>
          </cell>
          <cell r="G316">
            <v>78399.531394835431</v>
          </cell>
          <cell r="J316">
            <v>74626.415827633333</v>
          </cell>
        </row>
        <row r="317">
          <cell r="B317">
            <v>40421</v>
          </cell>
          <cell r="G317">
            <v>75623.373910119088</v>
          </cell>
          <cell r="J317">
            <v>74626.415827633333</v>
          </cell>
        </row>
        <row r="318">
          <cell r="B318">
            <v>40451</v>
          </cell>
          <cell r="G318">
            <v>83123.979367944688</v>
          </cell>
          <cell r="J318">
            <v>75226.415827633333</v>
          </cell>
        </row>
        <row r="319">
          <cell r="B319">
            <v>40480</v>
          </cell>
          <cell r="G319">
            <v>85856.08300961263</v>
          </cell>
          <cell r="J319">
            <v>75226.415827633333</v>
          </cell>
        </row>
        <row r="320">
          <cell r="B320">
            <v>40512</v>
          </cell>
          <cell r="G320">
            <v>83855.348302198356</v>
          </cell>
          <cell r="J320">
            <v>75226.415827633333</v>
          </cell>
        </row>
        <row r="321">
          <cell r="B321">
            <v>40543</v>
          </cell>
          <cell r="G321">
            <v>90357.529111709679</v>
          </cell>
          <cell r="J321">
            <v>76941.270190989555</v>
          </cell>
        </row>
        <row r="322">
          <cell r="B322">
            <v>40574</v>
          </cell>
          <cell r="G322">
            <v>91870.137483833736</v>
          </cell>
          <cell r="J322">
            <v>76941.270190989555</v>
          </cell>
        </row>
        <row r="323">
          <cell r="B323">
            <v>40602</v>
          </cell>
          <cell r="G323">
            <v>95091.752793156236</v>
          </cell>
          <cell r="J323">
            <v>76941.270190989555</v>
          </cell>
        </row>
        <row r="324">
          <cell r="B324">
            <v>40633</v>
          </cell>
          <cell r="G324">
            <v>93263.029030540609</v>
          </cell>
          <cell r="J324">
            <v>77541.270190989555</v>
          </cell>
        </row>
        <row r="325">
          <cell r="B325">
            <v>40662</v>
          </cell>
          <cell r="G325">
            <v>96817.373767501747</v>
          </cell>
          <cell r="J325">
            <v>77541.270190989555</v>
          </cell>
        </row>
        <row r="326">
          <cell r="B326">
            <v>40694</v>
          </cell>
          <cell r="G326">
            <v>94857.496219577792</v>
          </cell>
          <cell r="J326">
            <v>77541.270190989555</v>
          </cell>
        </row>
        <row r="327">
          <cell r="B327">
            <v>40724</v>
          </cell>
          <cell r="G327">
            <v>94173.809474803231</v>
          </cell>
          <cell r="J327">
            <v>78141.270190989555</v>
          </cell>
        </row>
        <row r="328">
          <cell r="B328">
            <v>40753</v>
          </cell>
          <cell r="G328">
            <v>92535.685185400114</v>
          </cell>
          <cell r="J328">
            <v>78141.270190989555</v>
          </cell>
        </row>
        <row r="329">
          <cell r="B329">
            <v>40786</v>
          </cell>
          <cell r="G329">
            <v>86394.586877944603</v>
          </cell>
          <cell r="J329">
            <v>78141.270190989555</v>
          </cell>
        </row>
        <row r="330">
          <cell r="B330">
            <v>40816</v>
          </cell>
          <cell r="G330">
            <v>78894.207226887869</v>
          </cell>
          <cell r="J330">
            <v>78741.270190989555</v>
          </cell>
        </row>
        <row r="331">
          <cell r="B331">
            <v>40847</v>
          </cell>
          <cell r="G331">
            <v>86149.534688413682</v>
          </cell>
          <cell r="J331">
            <v>78741.270190989555</v>
          </cell>
        </row>
        <row r="332">
          <cell r="B332">
            <v>40877</v>
          </cell>
          <cell r="G332">
            <v>84112.702384067496</v>
          </cell>
          <cell r="J332">
            <v>78741.270190989555</v>
          </cell>
        </row>
        <row r="333">
          <cell r="B333">
            <v>40907</v>
          </cell>
          <cell r="G333">
            <v>84680.481187479803</v>
          </cell>
          <cell r="J333">
            <v>80508.847369796116</v>
          </cell>
        </row>
        <row r="334">
          <cell r="B334">
            <v>40939</v>
          </cell>
          <cell r="G334">
            <v>88507.596478108942</v>
          </cell>
          <cell r="J334">
            <v>80508.847369796116</v>
          </cell>
        </row>
        <row r="335">
          <cell r="B335">
            <v>40968</v>
          </cell>
          <cell r="G335">
            <v>92756.087415228452</v>
          </cell>
          <cell r="J335">
            <v>80508.847369796116</v>
          </cell>
        </row>
        <row r="336">
          <cell r="B336">
            <v>40998</v>
          </cell>
          <cell r="G336">
            <v>93465.46956779476</v>
          </cell>
          <cell r="J336">
            <v>81108.847369796116</v>
          </cell>
        </row>
        <row r="337">
          <cell r="B337">
            <v>41029</v>
          </cell>
          <cell r="G337">
            <v>92144.7117839532</v>
          </cell>
          <cell r="J337">
            <v>81108.847369796116</v>
          </cell>
        </row>
        <row r="338">
          <cell r="B338">
            <v>41060</v>
          </cell>
          <cell r="G338">
            <v>84486.437803146022</v>
          </cell>
          <cell r="J338">
            <v>81108.847369796116</v>
          </cell>
        </row>
        <row r="339">
          <cell r="B339">
            <v>41089</v>
          </cell>
          <cell r="G339">
            <v>89586.129182276054</v>
          </cell>
          <cell r="J339">
            <v>81708.847369796116</v>
          </cell>
        </row>
        <row r="340">
          <cell r="B340">
            <v>41121</v>
          </cell>
          <cell r="G340">
            <v>90752.332765203537</v>
          </cell>
          <cell r="J340">
            <v>81708.847369796116</v>
          </cell>
        </row>
        <row r="341">
          <cell r="B341">
            <v>41152</v>
          </cell>
          <cell r="G341">
            <v>93185.550202568411</v>
          </cell>
          <cell r="J341">
            <v>81708.847369796116</v>
          </cell>
        </row>
        <row r="342">
          <cell r="B342">
            <v>41180</v>
          </cell>
          <cell r="G342">
            <v>95752.276996314351</v>
          </cell>
          <cell r="J342">
            <v>82308.847369796116</v>
          </cell>
        </row>
        <row r="343">
          <cell r="B343">
            <v>41213</v>
          </cell>
          <cell r="G343">
            <v>94807.612463671903</v>
          </cell>
          <cell r="J343">
            <v>82308.847369796116</v>
          </cell>
        </row>
        <row r="344">
          <cell r="B344">
            <v>41243</v>
          </cell>
          <cell r="G344">
            <v>96324.946207556131</v>
          </cell>
          <cell r="J344">
            <v>82308.847369796116</v>
          </cell>
        </row>
        <row r="345">
          <cell r="B345">
            <v>41274</v>
          </cell>
          <cell r="G345">
            <v>98724.727578403734</v>
          </cell>
          <cell r="J345">
            <v>84129.938206284787</v>
          </cell>
        </row>
        <row r="346">
          <cell r="B346">
            <v>41305</v>
          </cell>
          <cell r="G346">
            <v>105059.00310008925</v>
          </cell>
          <cell r="J346">
            <v>84129.938206284787</v>
          </cell>
        </row>
        <row r="347">
          <cell r="B347">
            <v>41333</v>
          </cell>
          <cell r="G347">
            <v>105358.95865149643</v>
          </cell>
          <cell r="J347">
            <v>84129.938206284787</v>
          </cell>
        </row>
        <row r="348">
          <cell r="B348">
            <v>41362</v>
          </cell>
          <cell r="G348">
            <v>106673.99944393187</v>
          </cell>
          <cell r="J348">
            <v>84729.938206284787</v>
          </cell>
        </row>
        <row r="349">
          <cell r="B349">
            <v>41394</v>
          </cell>
          <cell r="G349">
            <v>110021.17028834129</v>
          </cell>
          <cell r="J349">
            <v>84729.938206284787</v>
          </cell>
        </row>
        <row r="350">
          <cell r="B350">
            <v>41425</v>
          </cell>
          <cell r="G350">
            <v>109874.92849735093</v>
          </cell>
          <cell r="J350">
            <v>84729.938206284787</v>
          </cell>
        </row>
        <row r="351">
          <cell r="B351">
            <v>41453</v>
          </cell>
          <cell r="G351">
            <v>107712.36926487612</v>
          </cell>
          <cell r="J351">
            <v>85329.938206284787</v>
          </cell>
        </row>
        <row r="352">
          <cell r="B352">
            <v>41486</v>
          </cell>
          <cell r="G352">
            <v>113651.06456248988</v>
          </cell>
          <cell r="J352">
            <v>85329.938206284787</v>
          </cell>
        </row>
        <row r="353">
          <cell r="B353">
            <v>41516</v>
          </cell>
          <cell r="G353">
            <v>112062.77950406379</v>
          </cell>
          <cell r="J353">
            <v>85329.938206284787</v>
          </cell>
        </row>
        <row r="354">
          <cell r="B354">
            <v>41547</v>
          </cell>
          <cell r="G354">
            <v>117582.22256740143</v>
          </cell>
          <cell r="J354">
            <v>85929.938206284787</v>
          </cell>
        </row>
        <row r="355">
          <cell r="B355">
            <v>41578</v>
          </cell>
          <cell r="G355">
            <v>122244.42575206525</v>
          </cell>
          <cell r="J355">
            <v>85929.938206284787</v>
          </cell>
        </row>
        <row r="356">
          <cell r="B356">
            <v>41607</v>
          </cell>
          <cell r="G356">
            <v>124693.78130960162</v>
          </cell>
          <cell r="J356">
            <v>85929.938206284787</v>
          </cell>
        </row>
        <row r="357">
          <cell r="B357">
            <v>41639</v>
          </cell>
          <cell r="G357">
            <v>127473.89972012209</v>
          </cell>
          <cell r="J357">
            <v>87805.345405320782</v>
          </cell>
        </row>
        <row r="358">
          <cell r="B358">
            <v>41670</v>
          </cell>
          <cell r="G358">
            <v>124466.67327573261</v>
          </cell>
          <cell r="J358">
            <v>87805.345405320782</v>
          </cell>
        </row>
        <row r="359">
          <cell r="B359">
            <v>41698</v>
          </cell>
          <cell r="G359">
            <v>131039.80245454735</v>
          </cell>
          <cell r="J359">
            <v>87805.345405320782</v>
          </cell>
        </row>
        <row r="360">
          <cell r="B360">
            <v>41729</v>
          </cell>
          <cell r="G360">
            <v>130062.62734225568</v>
          </cell>
          <cell r="J360">
            <v>88405.345405320782</v>
          </cell>
        </row>
        <row r="361">
          <cell r="B361">
            <v>41759</v>
          </cell>
          <cell r="G361">
            <v>131085.48602146405</v>
          </cell>
          <cell r="J361">
            <v>88405.345405320782</v>
          </cell>
        </row>
        <row r="362">
          <cell r="B362">
            <v>41789</v>
          </cell>
          <cell r="G362">
            <v>133835.05877409401</v>
          </cell>
          <cell r="J362">
            <v>88405.345405320782</v>
          </cell>
        </row>
        <row r="363">
          <cell r="B363">
            <v>41820</v>
          </cell>
          <cell r="G363">
            <v>136732.96471036045</v>
          </cell>
          <cell r="J363">
            <v>89005.345405320782</v>
          </cell>
        </row>
        <row r="364">
          <cell r="B364">
            <v>41851</v>
          </cell>
          <cell r="G364">
            <v>135485.51622815314</v>
          </cell>
          <cell r="J364">
            <v>89005.345405320782</v>
          </cell>
        </row>
        <row r="365">
          <cell r="B365">
            <v>41880</v>
          </cell>
          <cell r="G365">
            <v>138786.77412549531</v>
          </cell>
          <cell r="J365">
            <v>89005.345405320782</v>
          </cell>
        </row>
        <row r="366">
          <cell r="B366">
            <v>41912</v>
          </cell>
          <cell r="G366">
            <v>134852.45603659886</v>
          </cell>
          <cell r="J366">
            <v>89605.345405320782</v>
          </cell>
        </row>
        <row r="367">
          <cell r="B367">
            <v>41943</v>
          </cell>
          <cell r="G367">
            <v>135278.82723450748</v>
          </cell>
          <cell r="J367">
            <v>89605.345405320782</v>
          </cell>
        </row>
        <row r="368">
          <cell r="B368">
            <v>41971</v>
          </cell>
          <cell r="G368">
            <v>138276.30643705325</v>
          </cell>
          <cell r="J368">
            <v>89605.345405320782</v>
          </cell>
        </row>
        <row r="369">
          <cell r="B369">
            <v>42004</v>
          </cell>
          <cell r="G369">
            <v>136668.32144492972</v>
          </cell>
          <cell r="J369">
            <v>91535.883712342315</v>
          </cell>
        </row>
        <row r="370">
          <cell r="B370">
            <v>42034</v>
          </cell>
          <cell r="G370">
            <v>136115.37506663427</v>
          </cell>
          <cell r="J370">
            <v>91535.883712342315</v>
          </cell>
        </row>
        <row r="371">
          <cell r="B371">
            <v>42062</v>
          </cell>
          <cell r="G371">
            <v>144198.21375146887</v>
          </cell>
          <cell r="J371">
            <v>91535.883712342315</v>
          </cell>
        </row>
        <row r="372">
          <cell r="B372">
            <v>42094</v>
          </cell>
          <cell r="G372">
            <v>139907.70968297499</v>
          </cell>
          <cell r="J372">
            <v>92135.883712342315</v>
          </cell>
        </row>
        <row r="373">
          <cell r="B373">
            <v>42124</v>
          </cell>
          <cell r="G373">
            <v>142726.34271927687</v>
          </cell>
          <cell r="J373">
            <v>92135.883712342315</v>
          </cell>
        </row>
        <row r="374">
          <cell r="B374">
            <v>42153</v>
          </cell>
          <cell r="G374">
            <v>142610.19794858975</v>
          </cell>
          <cell r="J374">
            <v>92135.883712342315</v>
          </cell>
        </row>
        <row r="375">
          <cell r="B375">
            <v>42185</v>
          </cell>
          <cell r="G375">
            <v>140005.59550306076</v>
          </cell>
          <cell r="J375">
            <v>92735.883712342315</v>
          </cell>
        </row>
        <row r="376">
          <cell r="B376">
            <v>42216</v>
          </cell>
          <cell r="G376">
            <v>143559.39653502946</v>
          </cell>
          <cell r="J376">
            <v>92735.883712342315</v>
          </cell>
        </row>
        <row r="377">
          <cell r="B377">
            <v>42247</v>
          </cell>
          <cell r="G377">
            <v>134510.36684028048</v>
          </cell>
          <cell r="J377">
            <v>92735.883712342315</v>
          </cell>
        </row>
        <row r="378">
          <cell r="B378">
            <v>42277</v>
          </cell>
          <cell r="G378">
            <v>129135.48658494944</v>
          </cell>
          <cell r="J378">
            <v>93335.883712342315</v>
          </cell>
        </row>
        <row r="379">
          <cell r="B379">
            <v>42307</v>
          </cell>
          <cell r="G379">
            <v>139244.58095835202</v>
          </cell>
          <cell r="J379">
            <v>93335.883712342315</v>
          </cell>
        </row>
        <row r="380">
          <cell r="B380">
            <v>42338</v>
          </cell>
          <cell r="G380">
            <v>138825.16892291003</v>
          </cell>
          <cell r="J380">
            <v>93335.883712342315</v>
          </cell>
        </row>
        <row r="381">
          <cell r="B381">
            <v>42369</v>
          </cell>
          <cell r="G381">
            <v>137341.48731001222</v>
          </cell>
          <cell r="J381">
            <v>95322.380093969172</v>
          </cell>
        </row>
        <row r="382">
          <cell r="B382">
            <v>42398</v>
          </cell>
          <cell r="G382">
            <v>130477.84983555383</v>
          </cell>
          <cell r="J382">
            <v>95322.380093969172</v>
          </cell>
        </row>
        <row r="383">
          <cell r="B383">
            <v>42429</v>
          </cell>
          <cell r="G383">
            <v>130089.5364765705</v>
          </cell>
          <cell r="J383">
            <v>95322.380093969172</v>
          </cell>
        </row>
        <row r="384">
          <cell r="B384">
            <v>42460</v>
          </cell>
          <cell r="G384">
            <v>136878.75519321489</v>
          </cell>
          <cell r="J384">
            <v>95922.380093969172</v>
          </cell>
        </row>
        <row r="385">
          <cell r="B385">
            <v>42489</v>
          </cell>
          <cell r="G385">
            <v>138559.18615239809</v>
          </cell>
          <cell r="J385">
            <v>95922.380093969172</v>
          </cell>
        </row>
        <row r="386">
          <cell r="B386">
            <v>42521</v>
          </cell>
          <cell r="G386">
            <v>138943.97266871776</v>
          </cell>
          <cell r="J386">
            <v>95922.380093969172</v>
          </cell>
        </row>
        <row r="387">
          <cell r="B387">
            <v>42551</v>
          </cell>
          <cell r="G387">
            <v>137804.95757519349</v>
          </cell>
          <cell r="J387">
            <v>96522.380093969172</v>
          </cell>
        </row>
        <row r="388">
          <cell r="B388">
            <v>42580</v>
          </cell>
          <cell r="G388">
            <v>144582.80395033772</v>
          </cell>
          <cell r="J388">
            <v>96522.380093969172</v>
          </cell>
        </row>
        <row r="389">
          <cell r="B389">
            <v>42613</v>
          </cell>
          <cell r="G389">
            <v>145027.02625138342</v>
          </cell>
          <cell r="J389">
            <v>96522.380093969172</v>
          </cell>
        </row>
        <row r="390">
          <cell r="B390">
            <v>42643</v>
          </cell>
          <cell r="G390">
            <v>145391.46483828995</v>
          </cell>
          <cell r="J390">
            <v>97122.380093969172</v>
          </cell>
        </row>
        <row r="391">
          <cell r="B391">
            <v>42674</v>
          </cell>
          <cell r="G391">
            <v>142091.10605339473</v>
          </cell>
          <cell r="J391">
            <v>97122.380093969172</v>
          </cell>
        </row>
        <row r="392">
          <cell r="B392">
            <v>42704</v>
          </cell>
          <cell r="G392">
            <v>144863.07350395384</v>
          </cell>
          <cell r="J392">
            <v>97122.380093969172</v>
          </cell>
        </row>
        <row r="393">
          <cell r="B393">
            <v>42734</v>
          </cell>
          <cell r="G393">
            <v>148870.95443608586</v>
          </cell>
          <cell r="J393">
            <v>99165.673921320427</v>
          </cell>
        </row>
        <row r="394">
          <cell r="B394">
            <v>42766</v>
          </cell>
          <cell r="G394">
            <v>153372.22838647146</v>
          </cell>
          <cell r="J394">
            <v>99165.673921320427</v>
          </cell>
        </row>
        <row r="395">
          <cell r="B395">
            <v>42794</v>
          </cell>
          <cell r="G395">
            <v>157990.66346760577</v>
          </cell>
          <cell r="J395">
            <v>99165.673921320427</v>
          </cell>
        </row>
        <row r="396">
          <cell r="B396">
            <v>42825</v>
          </cell>
          <cell r="G396">
            <v>157523.42287610492</v>
          </cell>
          <cell r="J396">
            <v>99765.673921320427</v>
          </cell>
        </row>
        <row r="397">
          <cell r="B397">
            <v>42853</v>
          </cell>
          <cell r="G397">
            <v>158346.85284222462</v>
          </cell>
          <cell r="J397">
            <v>99765.673921320427</v>
          </cell>
        </row>
        <row r="398">
          <cell r="B398">
            <v>42886</v>
          </cell>
          <cell r="G398">
            <v>162079.05240419591</v>
          </cell>
          <cell r="J398">
            <v>99765.673921320427</v>
          </cell>
        </row>
        <row r="399">
          <cell r="B399">
            <v>42916</v>
          </cell>
          <cell r="G399">
            <v>163959.88960324519</v>
          </cell>
          <cell r="J399">
            <v>100365.67392132043</v>
          </cell>
        </row>
        <row r="400">
          <cell r="B400">
            <v>42947</v>
          </cell>
          <cell r="G400">
            <v>169012.41970124684</v>
          </cell>
          <cell r="J400">
            <v>100365.67392132043</v>
          </cell>
        </row>
        <row r="401">
          <cell r="B401">
            <v>42978</v>
          </cell>
          <cell r="G401">
            <v>169237.24530638941</v>
          </cell>
          <cell r="J401">
            <v>100365.67392132043</v>
          </cell>
        </row>
        <row r="402">
          <cell r="B402">
            <v>43007</v>
          </cell>
          <cell r="G402">
            <v>172011.40526437209</v>
          </cell>
          <cell r="J402">
            <v>100965.67392132043</v>
          </cell>
        </row>
        <row r="403">
          <cell r="B403">
            <v>43039</v>
          </cell>
          <cell r="G403">
            <v>174660.29660299793</v>
          </cell>
          <cell r="J403">
            <v>100965.67392132043</v>
          </cell>
        </row>
        <row r="404">
          <cell r="B404">
            <v>43069</v>
          </cell>
          <cell r="G404">
            <v>179068.39367416748</v>
          </cell>
          <cell r="J404">
            <v>100965.67392132043</v>
          </cell>
        </row>
        <row r="405">
          <cell r="B405">
            <v>43098</v>
          </cell>
          <cell r="G405">
            <v>182167.61007190149</v>
          </cell>
          <cell r="J405">
            <v>103066.61715608195</v>
          </cell>
        </row>
        <row r="406">
          <cell r="B406">
            <v>43131</v>
          </cell>
          <cell r="G406">
            <v>193758.0904615891</v>
          </cell>
          <cell r="J406">
            <v>103066.61715608195</v>
          </cell>
        </row>
        <row r="407">
          <cell r="B407">
            <v>43159</v>
          </cell>
          <cell r="G407">
            <v>187000.66273943475</v>
          </cell>
          <cell r="J407">
            <v>103066.61715608195</v>
          </cell>
        </row>
        <row r="408">
          <cell r="B408">
            <v>43189</v>
          </cell>
          <cell r="G408">
            <v>180175.68758212106</v>
          </cell>
          <cell r="J408">
            <v>103666.61715608195</v>
          </cell>
        </row>
        <row r="409">
          <cell r="B409">
            <v>43220</v>
          </cell>
          <cell r="G409">
            <v>181050.51230554286</v>
          </cell>
          <cell r="J409">
            <v>103666.61715608195</v>
          </cell>
        </row>
        <row r="410">
          <cell r="B410">
            <v>43251</v>
          </cell>
          <cell r="G410">
            <v>181447.35745367626</v>
          </cell>
          <cell r="J410">
            <v>103666.61715608195</v>
          </cell>
        </row>
        <row r="411">
          <cell r="B411">
            <v>43280</v>
          </cell>
          <cell r="G411">
            <v>181844.24127375212</v>
          </cell>
          <cell r="J411">
            <v>104266.61715608195</v>
          </cell>
        </row>
        <row r="412">
          <cell r="B412">
            <v>43312</v>
          </cell>
          <cell r="G412">
            <v>188674.57416096851</v>
          </cell>
          <cell r="J412">
            <v>104266.61715608195</v>
          </cell>
        </row>
        <row r="413">
          <cell r="B413">
            <v>43343</v>
          </cell>
          <cell r="G413">
            <v>191671.04683380129</v>
          </cell>
          <cell r="J413">
            <v>104266.61715608195</v>
          </cell>
        </row>
        <row r="414">
          <cell r="B414">
            <v>43371</v>
          </cell>
          <cell r="G414">
            <v>191188.81709677045</v>
          </cell>
          <cell r="J414">
            <v>104866.61715608195</v>
          </cell>
        </row>
        <row r="415">
          <cell r="B415">
            <v>43404</v>
          </cell>
          <cell r="G415">
            <v>177309.711923914</v>
          </cell>
          <cell r="J415">
            <v>104866.61715608195</v>
          </cell>
        </row>
        <row r="416">
          <cell r="B416">
            <v>43434</v>
          </cell>
          <cell r="G416">
            <v>180129.99458921267</v>
          </cell>
          <cell r="J416">
            <v>104866.61715608195</v>
          </cell>
        </row>
        <row r="417">
          <cell r="B417">
            <v>43465</v>
          </cell>
          <cell r="G417">
            <v>167424.98818126111</v>
          </cell>
          <cell r="J417">
            <v>107026.0745393649</v>
          </cell>
        </row>
        <row r="418">
          <cell r="B418">
            <v>43496</v>
          </cell>
          <cell r="G418">
            <v>182648.89425754591</v>
          </cell>
          <cell r="J418">
            <v>107026.0745393649</v>
          </cell>
        </row>
        <row r="419">
          <cell r="B419">
            <v>43524</v>
          </cell>
          <cell r="G419">
            <v>188557.20377951188</v>
          </cell>
          <cell r="J419">
            <v>107026.0745393649</v>
          </cell>
        </row>
        <row r="420">
          <cell r="B420">
            <v>43553</v>
          </cell>
          <cell r="G420">
            <v>188308.90438166613</v>
          </cell>
          <cell r="J420">
            <v>107626.0745393649</v>
          </cell>
        </row>
        <row r="421">
          <cell r="B421">
            <v>43585</v>
          </cell>
          <cell r="G421">
            <v>193852.81345893355</v>
          </cell>
          <cell r="J421">
            <v>107626.0745393649</v>
          </cell>
        </row>
        <row r="422">
          <cell r="B422">
            <v>43616</v>
          </cell>
          <cell r="G422">
            <v>182560.87870263477</v>
          </cell>
          <cell r="J422">
            <v>107626.0745393649</v>
          </cell>
        </row>
        <row r="423">
          <cell r="B423">
            <v>43644</v>
          </cell>
          <cell r="G423">
            <v>195131.31297647173</v>
          </cell>
          <cell r="J423">
            <v>108226.0745393649</v>
          </cell>
        </row>
        <row r="424">
          <cell r="B424">
            <v>43677</v>
          </cell>
          <cell r="G424">
            <v>198692.1131706539</v>
          </cell>
          <cell r="J424">
            <v>108226.0745393649</v>
          </cell>
        </row>
        <row r="425">
          <cell r="B425">
            <v>43707</v>
          </cell>
          <cell r="G425">
            <v>194852.30490030118</v>
          </cell>
          <cell r="J425">
            <v>108226.0745393649</v>
          </cell>
        </row>
        <row r="426">
          <cell r="B426">
            <v>43738</v>
          </cell>
          <cell r="G426">
            <v>197432.56139002839</v>
          </cell>
          <cell r="J426">
            <v>108826.0745393649</v>
          </cell>
        </row>
        <row r="427">
          <cell r="B427">
            <v>43769</v>
          </cell>
          <cell r="G427">
            <v>202381.08973611193</v>
          </cell>
          <cell r="J427">
            <v>108826.0745393649</v>
          </cell>
        </row>
        <row r="428">
          <cell r="B428">
            <v>43798</v>
          </cell>
          <cell r="G428">
            <v>208324.68102779816</v>
          </cell>
          <cell r="J428">
            <v>108826.0745393649</v>
          </cell>
        </row>
        <row r="429">
          <cell r="B429">
            <v>43830</v>
          </cell>
          <cell r="G429">
            <v>215450.30443639815</v>
          </cell>
          <cell r="J429">
            <v>111044.9237833971</v>
          </cell>
        </row>
        <row r="430">
          <cell r="B430">
            <v>43861</v>
          </cell>
          <cell r="G430">
            <v>215929.01855855924</v>
          </cell>
          <cell r="J430">
            <v>111044.9237833971</v>
          </cell>
        </row>
        <row r="431">
          <cell r="B431">
            <v>43889</v>
          </cell>
          <cell r="G431">
            <v>198943.84114141972</v>
          </cell>
          <cell r="J431">
            <v>111044.9237833971</v>
          </cell>
        </row>
        <row r="432">
          <cell r="B432">
            <v>43921</v>
          </cell>
          <cell r="G432">
            <v>170774.47529067192</v>
          </cell>
          <cell r="J432">
            <v>111644.9237833971</v>
          </cell>
        </row>
        <row r="433">
          <cell r="B433">
            <v>43951</v>
          </cell>
          <cell r="G433">
            <v>189430.5964313208</v>
          </cell>
          <cell r="J433">
            <v>111644.9237833971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300-000000000000}" autoFormatId="16" applyNumberFormats="0" applyBorderFormats="0" applyFontFormats="0" applyPatternFormats="0" applyAlignmentFormats="0" applyWidthHeightFormats="0">
  <queryTableRefresh nextId="9">
    <queryTableFields count="8">
      <queryTableField id="1" name="LOCATION" tableColumnId="1"/>
      <queryTableField id="2" name="INDICATOR" tableColumnId="2"/>
      <queryTableField id="3" name="SUBJECT" tableColumnId="3"/>
      <queryTableField id="4" name="MEASURE" tableColumnId="4"/>
      <queryTableField id="5" name="FREQUENCY" tableColumnId="5"/>
      <queryTableField id="6" name="TIME" tableColumnId="6"/>
      <queryTableField id="7" name="Value" tableColumnId="7"/>
      <queryTableField id="8" name="Flag Codes" tableColumnId="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A10380BB-5BC5-47E7-BDAF-602835A3C780}" autoFormatId="16" applyNumberFormats="0" applyBorderFormats="0" applyFontFormats="0" applyPatternFormats="0" applyAlignmentFormats="0" applyWidthHeightFormats="0">
  <queryTableRefresh nextId="9">
    <queryTableFields count="8">
      <queryTableField id="1" name="LOCATION" tableColumnId="1"/>
      <queryTableField id="2" name="INDICATOR" tableColumnId="2"/>
      <queryTableField id="3" name="SUBJECT" tableColumnId="3"/>
      <queryTableField id="4" name="MEASURE" tableColumnId="4"/>
      <queryTableField id="5" name="FREQUENCY" tableColumnId="5"/>
      <queryTableField id="6" name="TIME" tableColumnId="6"/>
      <queryTableField id="7" name="Value" tableColumnId="7"/>
      <queryTableField id="8" name="Flag Codes" tableColumnId="8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nominal_vs_real" displayName="nominal_vs_real" ref="B2:F427" totalsRowShown="0" headerRowDxfId="14">
  <autoFilter ref="B2:F427" xr:uid="{00000000-0009-0000-0100-000002000000}"/>
  <tableColumns count="5">
    <tableColumn id="1" xr3:uid="{00000000-0010-0000-0000-000001000000}" name="Date" dataDxfId="13"/>
    <tableColumn id="2" xr3:uid="{00000000-0010-0000-0000-000002000000}" name="MSCI World Nominal" dataDxfId="12"/>
    <tableColumn id="5" xr3:uid="{00000000-0010-0000-0000-000005000000}" name="MSCI World Real" dataDxfId="11">
      <calculatedColumnFormula>C2*F3</calculatedColumnFormula>
    </tableColumn>
    <tableColumn id="3" xr3:uid="{00000000-0010-0000-0000-000003000000}" name="Nominal Growth Rate" dataDxfId="10" dataCellStyle="Percent">
      <calculatedColumnFormula>C3/C2-1</calculatedColumnFormula>
    </tableColumn>
    <tableColumn id="4" xr3:uid="{00000000-0010-0000-0000-000004000000}" name="Real Growth Rate" dataDxfId="9">
      <calculatedColumnFormula>(1+E3)/(1+'inflation-monthly'!D3)-1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inflation_month" displayName="inflation_month" ref="B2:D426" totalsRowShown="0" headerRowDxfId="8">
  <autoFilter ref="B2:D426" xr:uid="{00000000-0009-0000-0100-000003000000}"/>
  <tableColumns count="3">
    <tableColumn id="1" xr3:uid="{00000000-0010-0000-0100-000001000000}" name="Date"/>
    <tableColumn id="2" xr3:uid="{00000000-0010-0000-0100-000002000000}" name="CPI Index Value" dataDxfId="7"/>
    <tableColumn id="3" xr3:uid="{00000000-0010-0000-0100-000003000000}" name="Growth Rate" dataDxfId="6">
      <calculatedColumnFormula>C3/C2-1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46F8535-B34D-4021-B7D4-53222E5E97DE}" name="inflation_year" displayName="inflation_year" ref="B2:D66" totalsRowShown="0" headerRowDxfId="5" headerRowBorderDxfId="4" tableBorderDxfId="3">
  <autoFilter ref="B2:D66" xr:uid="{802586DB-1A8C-453F-ABBD-DD2427D27DD6}"/>
  <tableColumns count="3">
    <tableColumn id="1" xr3:uid="{B8B0D5FC-DC0C-4174-B7BD-7DA62085BCB4}" name="Date" dataDxfId="2"/>
    <tableColumn id="2" xr3:uid="{0F06AAF3-0A23-4BA2-8623-8F5842F6EAF5}" name="CPI Index Value" dataDxfId="1"/>
    <tableColumn id="3" xr3:uid="{D43CD577-AD08-461A-BE3D-EA06AA47C4E6}" name="Growth Rate" dataDxfId="0">
      <calculatedColumnFormula>inflation_year[[#This Row],[CPI Index Value]]/C2-1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oecd_pt_inflation" displayName="oecd_pt_inflation" ref="A1:H606" tableType="queryTable" totalsRowShown="0">
  <autoFilter ref="A1:H606" xr:uid="{00000000-0009-0000-0100-000001000000}"/>
  <tableColumns count="8">
    <tableColumn id="1" xr3:uid="{00000000-0010-0000-0200-000001000000}" uniqueName="1" name="LOCATION" queryTableFieldId="1"/>
    <tableColumn id="2" xr3:uid="{00000000-0010-0000-0200-000002000000}" uniqueName="2" name="INDICATOR" queryTableFieldId="2"/>
    <tableColumn id="3" xr3:uid="{00000000-0010-0000-0200-000003000000}" uniqueName="3" name="SUBJECT" queryTableFieldId="3"/>
    <tableColumn id="4" xr3:uid="{00000000-0010-0000-0200-000004000000}" uniqueName="4" name="MEASURE" queryTableFieldId="4"/>
    <tableColumn id="5" xr3:uid="{00000000-0010-0000-0200-000005000000}" uniqueName="5" name="FREQUENCY" queryTableFieldId="5"/>
    <tableColumn id="6" xr3:uid="{00000000-0010-0000-0200-000006000000}" uniqueName="6" name="TIME" queryTableFieldId="6"/>
    <tableColumn id="7" xr3:uid="{00000000-0010-0000-0200-000007000000}" uniqueName="7" name="Value" queryTableFieldId="7"/>
    <tableColumn id="8" xr3:uid="{00000000-0010-0000-0200-000008000000}" uniqueName="8" name="Flag Codes" queryTableFieldId="8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49BC00C-C836-4223-80ED-7C48292B2153}" name="oecd_pt_inflation_yearly" displayName="oecd_pt_inflation_yearly" ref="A1:H65" tableType="queryTable" totalsRowShown="0">
  <autoFilter ref="A1:H65" xr:uid="{AD69B2E2-96E4-41E9-86D9-B15810A837BC}"/>
  <tableColumns count="8">
    <tableColumn id="1" xr3:uid="{8B79D814-155D-42DF-8AC3-47809DCE1960}" uniqueName="1" name="LOCATION" queryTableFieldId="1"/>
    <tableColumn id="2" xr3:uid="{044CDC8A-433D-473F-A681-01E80297F7BD}" uniqueName="2" name="INDICATOR" queryTableFieldId="2"/>
    <tableColumn id="3" xr3:uid="{FA7094A7-E8A4-4F78-8050-B396BAD01E86}" uniqueName="3" name="SUBJECT" queryTableFieldId="3"/>
    <tableColumn id="4" xr3:uid="{341A6F4B-24E3-49BE-ABD5-9C48FB3A8572}" uniqueName="4" name="MEASURE" queryTableFieldId="4"/>
    <tableColumn id="5" xr3:uid="{2A8B69F6-B544-4AA0-802D-5A772F0EDE29}" uniqueName="5" name="FREQUENCY" queryTableFieldId="5"/>
    <tableColumn id="6" xr3:uid="{7AC99A9E-30D2-4E4C-B6B6-2A4960BA4D79}" uniqueName="6" name="TIME" queryTableFieldId="6"/>
    <tableColumn id="7" xr3:uid="{FA5E7587-7B6E-4676-9027-05E296607FE1}" uniqueName="7" name="Value" queryTableFieldId="7"/>
    <tableColumn id="8" xr3:uid="{FB9FBA4E-D55F-4A35-B751-8046F9842F00}" uniqueName="8" name="Flag Codes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27"/>
  <sheetViews>
    <sheetView showGridLines="0" tabSelected="1" workbookViewId="0">
      <selection activeCell="D14" sqref="D14"/>
    </sheetView>
  </sheetViews>
  <sheetFormatPr defaultRowHeight="12.75" x14ac:dyDescent="0.2"/>
  <cols>
    <col min="1" max="1" width="1.7109375" customWidth="1"/>
    <col min="2" max="2" width="10.140625" bestFit="1" customWidth="1"/>
    <col min="3" max="3" width="22.42578125" bestFit="1" customWidth="1"/>
    <col min="4" max="4" width="18.85546875" bestFit="1" customWidth="1"/>
    <col min="5" max="5" width="23" bestFit="1" customWidth="1"/>
    <col min="6" max="6" width="19.5703125" bestFit="1" customWidth="1"/>
  </cols>
  <sheetData>
    <row r="2" spans="2:6" x14ac:dyDescent="0.2">
      <c r="B2" s="5" t="s">
        <v>4</v>
      </c>
      <c r="C2" s="5" t="s">
        <v>641</v>
      </c>
      <c r="D2" s="5" t="s">
        <v>1070</v>
      </c>
      <c r="E2" s="5" t="s">
        <v>642</v>
      </c>
      <c r="F2" s="5" t="s">
        <v>1069</v>
      </c>
    </row>
    <row r="3" spans="2:6" x14ac:dyDescent="0.2">
      <c r="B3" s="4">
        <v>31047</v>
      </c>
      <c r="C3" s="8">
        <f>291.613*(1/291.613*100)</f>
        <v>100</v>
      </c>
      <c r="D3" s="8">
        <f>291.613*(1/291.613*100)</f>
        <v>100</v>
      </c>
      <c r="E3" s="6"/>
      <c r="F3" s="7"/>
    </row>
    <row r="4" spans="2:6" x14ac:dyDescent="0.2">
      <c r="B4" s="4">
        <v>31078</v>
      </c>
      <c r="C4" s="8">
        <f>307.636*(1/291.613*100)</f>
        <v>105.49461100842555</v>
      </c>
      <c r="D4" s="8">
        <f t="shared" ref="D4:D67" si="0">D3*(1+F4)</f>
        <v>100.84371252203455</v>
      </c>
      <c r="E4" s="6">
        <f>C4/C3-1</f>
        <v>5.4946110084255428E-2</v>
      </c>
      <c r="F4" s="7">
        <f>(1+E4)/(1+'inflation-monthly'!D4)-1</f>
        <v>8.4371252203454539E-3</v>
      </c>
    </row>
    <row r="5" spans="2:6" x14ac:dyDescent="0.2">
      <c r="B5" s="4">
        <v>31106</v>
      </c>
      <c r="C5" s="8">
        <f>308.161*(1/291.613*100)</f>
        <v>105.67464413452075</v>
      </c>
      <c r="D5" s="8">
        <f t="shared" si="0"/>
        <v>98.429034588527728</v>
      </c>
      <c r="E5" s="6">
        <f t="shared" ref="E5:E68" si="1">C5/C4-1</f>
        <v>1.7065623009009379E-3</v>
      </c>
      <c r="F5" s="7">
        <f>(1+E5)/(1+'inflation-monthly'!D5)-1</f>
        <v>-2.3944754443458338E-2</v>
      </c>
    </row>
    <row r="6" spans="2:6" x14ac:dyDescent="0.2">
      <c r="B6" s="4">
        <v>31135</v>
      </c>
      <c r="C6" s="8">
        <f>318.779*(1/291.613*100)</f>
        <v>109.31577124476617</v>
      </c>
      <c r="D6" s="8">
        <f t="shared" si="0"/>
        <v>100.27663257878247</v>
      </c>
      <c r="E6" s="6">
        <f t="shared" si="1"/>
        <v>3.4456014875341001E-2</v>
      </c>
      <c r="F6" s="7">
        <f>(1+E6)/(1+'inflation-monthly'!D6)-1</f>
        <v>1.8770863678369221E-2</v>
      </c>
    </row>
    <row r="7" spans="2:6" x14ac:dyDescent="0.2">
      <c r="B7" s="4">
        <v>31167</v>
      </c>
      <c r="C7" s="8">
        <f>317.824*(1/291.613*100)</f>
        <v>108.988282415393</v>
      </c>
      <c r="D7" s="8">
        <f t="shared" si="0"/>
        <v>98.884704773594606</v>
      </c>
      <c r="E7" s="6">
        <f t="shared" si="1"/>
        <v>-2.995805871779389E-3</v>
      </c>
      <c r="F7" s="7">
        <f>(1+E7)/(1+'inflation-monthly'!D7)-1</f>
        <v>-1.3880879018292602E-2</v>
      </c>
    </row>
    <row r="8" spans="2:6" x14ac:dyDescent="0.2">
      <c r="B8" s="4">
        <v>31198</v>
      </c>
      <c r="C8" s="8">
        <f>334.076*(1/291.613*100)</f>
        <v>114.56142215882008</v>
      </c>
      <c r="D8" s="8">
        <f t="shared" si="0"/>
        <v>103.61511030397384</v>
      </c>
      <c r="E8" s="6">
        <f t="shared" si="1"/>
        <v>5.11352194925494E-2</v>
      </c>
      <c r="F8" s="7">
        <f>(1+E8)/(1+'inflation-monthly'!D8)-1</f>
        <v>4.7837585612556799E-2</v>
      </c>
    </row>
    <row r="9" spans="2:6" x14ac:dyDescent="0.2">
      <c r="B9" s="4">
        <v>31226</v>
      </c>
      <c r="C9" s="8">
        <f>339.953*(1/291.613*100)</f>
        <v>116.57676441036578</v>
      </c>
      <c r="D9" s="8">
        <f t="shared" si="0"/>
        <v>105.28296280970443</v>
      </c>
      <c r="E9" s="6">
        <f t="shared" si="1"/>
        <v>1.7591805457440657E-2</v>
      </c>
      <c r="F9" s="7">
        <f>(1+E9)/(1+'inflation-monthly'!D9)-1</f>
        <v>1.6096614681368804E-2</v>
      </c>
    </row>
    <row r="10" spans="2:6" x14ac:dyDescent="0.2">
      <c r="B10" s="4">
        <v>31259</v>
      </c>
      <c r="C10" s="8">
        <f>346.882*(1/291.613*100)</f>
        <v>118.95285875458227</v>
      </c>
      <c r="D10" s="8">
        <f t="shared" si="0"/>
        <v>107.07272637952212</v>
      </c>
      <c r="E10" s="6">
        <f t="shared" si="1"/>
        <v>2.038222930816902E-2</v>
      </c>
      <c r="F10" s="7">
        <f>(1+E10)/(1+'inflation-monthly'!D10)-1</f>
        <v>1.699955550313148E-2</v>
      </c>
    </row>
    <row r="11" spans="2:6" x14ac:dyDescent="0.2">
      <c r="B11" s="4">
        <v>31289</v>
      </c>
      <c r="C11" s="8">
        <f>349.639*(1/291.613*100)</f>
        <v>119.89828985676222</v>
      </c>
      <c r="D11" s="8">
        <f t="shared" si="0"/>
        <v>107.09400915406981</v>
      </c>
      <c r="E11" s="6">
        <f t="shared" si="1"/>
        <v>7.947947717091175E-3</v>
      </c>
      <c r="F11" s="7">
        <f>(1+E11)/(1+'inflation-monthly'!D11)-1</f>
        <v>1.9876933433304877E-4</v>
      </c>
    </row>
    <row r="12" spans="2:6" x14ac:dyDescent="0.2">
      <c r="B12" s="4">
        <v>31320</v>
      </c>
      <c r="C12" s="8">
        <f>352.162*(1/291.613*100)</f>
        <v>120.76347762273971</v>
      </c>
      <c r="D12" s="8">
        <f t="shared" si="0"/>
        <v>107.74314883746054</v>
      </c>
      <c r="E12" s="6">
        <f t="shared" si="1"/>
        <v>7.2160142318218323E-3</v>
      </c>
      <c r="F12" s="7">
        <f>(1+E12)/(1+'inflation-monthly'!D12)-1</f>
        <v>6.0614005257459969E-3</v>
      </c>
    </row>
    <row r="13" spans="2:6" x14ac:dyDescent="0.2">
      <c r="B13" s="4">
        <v>31351</v>
      </c>
      <c r="C13" s="8">
        <f>371.024*(1/291.613*100)</f>
        <v>127.23163919304008</v>
      </c>
      <c r="D13" s="8">
        <f t="shared" si="0"/>
        <v>112.40170091910902</v>
      </c>
      <c r="E13" s="6">
        <f t="shared" si="1"/>
        <v>5.3560577234341045E-2</v>
      </c>
      <c r="F13" s="7">
        <f>(1+E13)/(1+'inflation-monthly'!D13)-1</f>
        <v>4.3237571315799306E-2</v>
      </c>
    </row>
    <row r="14" spans="2:6" x14ac:dyDescent="0.2">
      <c r="B14" s="4">
        <v>31380</v>
      </c>
      <c r="C14" s="8">
        <f>391.668*(1/291.613*100)</f>
        <v>134.31088463134358</v>
      </c>
      <c r="D14" s="8">
        <f t="shared" si="0"/>
        <v>116.84343981482461</v>
      </c>
      <c r="E14" s="6">
        <f t="shared" si="1"/>
        <v>5.5640605459485126E-2</v>
      </c>
      <c r="F14" s="7">
        <f>(1+E14)/(1+'inflation-monthly'!D14)-1</f>
        <v>3.9516651966967409E-2</v>
      </c>
    </row>
    <row r="15" spans="2:6" x14ac:dyDescent="0.2">
      <c r="B15" s="4">
        <v>31412</v>
      </c>
      <c r="C15" s="8">
        <f>409.905*(1/291.613*100)</f>
        <v>140.5647210515306</v>
      </c>
      <c r="D15" s="8">
        <f t="shared" si="0"/>
        <v>120.31185939584034</v>
      </c>
      <c r="E15" s="6">
        <f t="shared" si="1"/>
        <v>4.6562394681209485E-2</v>
      </c>
      <c r="F15" s="7">
        <f>(1+E15)/(1+'inflation-monthly'!D15)-1</f>
        <v>2.9684333040113753E-2</v>
      </c>
    </row>
    <row r="16" spans="2:6" x14ac:dyDescent="0.2">
      <c r="B16" s="4">
        <v>31443</v>
      </c>
      <c r="C16" s="8">
        <f>415.868*(1/291.613*100)</f>
        <v>142.60955444373192</v>
      </c>
      <c r="D16" s="8">
        <f t="shared" si="0"/>
        <v>118.94063579647862</v>
      </c>
      <c r="E16" s="6">
        <f t="shared" si="1"/>
        <v>1.4547273148656448E-2</v>
      </c>
      <c r="F16" s="7">
        <f>(1+E16)/(1+'inflation-monthly'!D16)-1</f>
        <v>-1.1397243848174976E-2</v>
      </c>
    </row>
    <row r="17" spans="2:6" x14ac:dyDescent="0.2">
      <c r="B17" s="4">
        <v>31471</v>
      </c>
      <c r="C17" s="8">
        <f>453.234*(1/291.613*100)</f>
        <v>155.42311213834773</v>
      </c>
      <c r="D17" s="8">
        <f t="shared" si="0"/>
        <v>127.96393049228739</v>
      </c>
      <c r="E17" s="6">
        <f t="shared" si="1"/>
        <v>8.9850625679302132E-2</v>
      </c>
      <c r="F17" s="7">
        <f>(1+E17)/(1+'inflation-monthly'!D17)-1</f>
        <v>7.5863851200935972E-2</v>
      </c>
    </row>
    <row r="18" spans="2:6" x14ac:dyDescent="0.2">
      <c r="B18" s="4">
        <v>31502</v>
      </c>
      <c r="C18" s="8">
        <f>497.416*(1/291.613*100)</f>
        <v>170.57401419003952</v>
      </c>
      <c r="D18" s="8">
        <f t="shared" si="0"/>
        <v>138.83737991591806</v>
      </c>
      <c r="E18" s="6">
        <f t="shared" si="1"/>
        <v>9.748165406831788E-2</v>
      </c>
      <c r="F18" s="7">
        <f>(1+E18)/(1+'inflation-monthly'!D18)-1</f>
        <v>8.4972768355892514E-2</v>
      </c>
    </row>
    <row r="19" spans="2:6" x14ac:dyDescent="0.2">
      <c r="B19" s="4">
        <v>31532</v>
      </c>
      <c r="C19" s="8">
        <f>510.97*(1/291.613*100)</f>
        <v>175.22195512545738</v>
      </c>
      <c r="D19" s="8">
        <f t="shared" si="0"/>
        <v>140.80951968418515</v>
      </c>
      <c r="E19" s="6">
        <f t="shared" si="1"/>
        <v>2.7248821911639576E-2</v>
      </c>
      <c r="F19" s="7">
        <f>(1+E19)/(1+'inflation-monthly'!D19)-1</f>
        <v>1.4204674342467749E-2</v>
      </c>
    </row>
    <row r="20" spans="2:6" x14ac:dyDescent="0.2">
      <c r="B20" s="4">
        <v>31562</v>
      </c>
      <c r="C20" s="8">
        <f>509.368*(1/291.613*100)</f>
        <v>174.67259690068687</v>
      </c>
      <c r="D20" s="8">
        <f t="shared" si="0"/>
        <v>141.00370745490582</v>
      </c>
      <c r="E20" s="6">
        <f t="shared" si="1"/>
        <v>-3.1352134176175772E-3</v>
      </c>
      <c r="F20" s="7">
        <f>(1+E20)/(1+'inflation-monthly'!D20)-1</f>
        <v>1.3790812663534435E-3</v>
      </c>
    </row>
    <row r="21" spans="2:6" x14ac:dyDescent="0.2">
      <c r="B21" s="4">
        <v>31593</v>
      </c>
      <c r="C21" s="8">
        <f>529.674*(1/291.613*100)</f>
        <v>181.63593529780906</v>
      </c>
      <c r="D21" s="8">
        <f t="shared" si="0"/>
        <v>146.15998537772796</v>
      </c>
      <c r="E21" s="6">
        <f t="shared" si="1"/>
        <v>3.9865087716542735E-2</v>
      </c>
      <c r="F21" s="7">
        <f>(1+E21)/(1+'inflation-monthly'!D21)-1</f>
        <v>3.6568385441008155E-2</v>
      </c>
    </row>
    <row r="22" spans="2:6" x14ac:dyDescent="0.2">
      <c r="B22" s="4">
        <v>31624</v>
      </c>
      <c r="C22" s="8">
        <f>533.795*(1/291.613*100)</f>
        <v>183.04910960759634</v>
      </c>
      <c r="D22" s="8">
        <f t="shared" si="0"/>
        <v>147.30729786218322</v>
      </c>
      <c r="E22" s="6">
        <f t="shared" si="1"/>
        <v>7.780257290333159E-3</v>
      </c>
      <c r="F22" s="7">
        <f>(1+E22)/(1+'inflation-monthly'!D22)-1</f>
        <v>7.8497030599051776E-3</v>
      </c>
    </row>
    <row r="23" spans="2:6" x14ac:dyDescent="0.2">
      <c r="B23" s="4">
        <v>31653</v>
      </c>
      <c r="C23" s="8">
        <f>580.299*(1/291.613*100)</f>
        <v>198.9962724569892</v>
      </c>
      <c r="D23" s="8">
        <f t="shared" si="0"/>
        <v>158.65896232541459</v>
      </c>
      <c r="E23" s="6">
        <f t="shared" si="1"/>
        <v>8.711958710741019E-2</v>
      </c>
      <c r="F23" s="7">
        <f>(1+E23)/(1+'inflation-monthly'!D23)-1</f>
        <v>7.7061113929682401E-2</v>
      </c>
    </row>
    <row r="24" spans="2:6" x14ac:dyDescent="0.2">
      <c r="B24" s="4">
        <v>31685</v>
      </c>
      <c r="C24" s="8">
        <f>557.094*(1/291.613*100)</f>
        <v>191.03880828358135</v>
      </c>
      <c r="D24" s="8">
        <f t="shared" si="0"/>
        <v>151.68783622109956</v>
      </c>
      <c r="E24" s="6">
        <f t="shared" si="1"/>
        <v>-3.9988006183019231E-2</v>
      </c>
      <c r="F24" s="7">
        <f>(1+E24)/(1+'inflation-monthly'!D24)-1</f>
        <v>-4.3937802202544618E-2</v>
      </c>
    </row>
    <row r="25" spans="2:6" x14ac:dyDescent="0.2">
      <c r="B25" s="4">
        <v>31716</v>
      </c>
      <c r="C25" s="8">
        <f>547.38*(1/291.613*100)</f>
        <v>187.70768107045981</v>
      </c>
      <c r="D25" s="8">
        <f t="shared" si="0"/>
        <v>148.10118645149004</v>
      </c>
      <c r="E25" s="6">
        <f t="shared" si="1"/>
        <v>-1.7436913698586021E-2</v>
      </c>
      <c r="F25" s="7">
        <f>(1+E25)/(1+'inflation-monthly'!D25)-1</f>
        <v>-2.3644939890774319E-2</v>
      </c>
    </row>
    <row r="26" spans="2:6" x14ac:dyDescent="0.2">
      <c r="B26" s="4">
        <v>31744</v>
      </c>
      <c r="C26" s="8">
        <f>570.392*(1/291.613*100)</f>
        <v>195.59896163751273</v>
      </c>
      <c r="D26" s="8">
        <f t="shared" si="0"/>
        <v>153.02963078900228</v>
      </c>
      <c r="E26" s="6">
        <f t="shared" si="1"/>
        <v>4.204026453286569E-2</v>
      </c>
      <c r="F26" s="7">
        <f>(1+E26)/(1+'inflation-monthly'!D26)-1</f>
        <v>3.327754797647442E-2</v>
      </c>
    </row>
    <row r="27" spans="2:6" x14ac:dyDescent="0.2">
      <c r="B27" s="4">
        <v>31777</v>
      </c>
      <c r="C27" s="8">
        <f>581.613*(1/291.613*100)</f>
        <v>199.44686965258751</v>
      </c>
      <c r="D27" s="8">
        <f t="shared" si="0"/>
        <v>153.48944860591692</v>
      </c>
      <c r="E27" s="6">
        <f t="shared" si="1"/>
        <v>1.9672435798538501E-2</v>
      </c>
      <c r="F27" s="7">
        <f>(1+E27)/(1+'inflation-monthly'!D27)-1</f>
        <v>3.0047632902456822E-3</v>
      </c>
    </row>
    <row r="28" spans="2:6" x14ac:dyDescent="0.2">
      <c r="B28" s="4">
        <v>31807</v>
      </c>
      <c r="C28" s="8">
        <f>649.78*(1/291.613*100)</f>
        <v>222.82271366502863</v>
      </c>
      <c r="D28" s="8">
        <f t="shared" si="0"/>
        <v>168.9346724331601</v>
      </c>
      <c r="E28" s="6">
        <f t="shared" si="1"/>
        <v>0.11720336374874685</v>
      </c>
      <c r="F28" s="7">
        <f>(1+E28)/(1+'inflation-monthly'!D28)-1</f>
        <v>0.10062726765602426</v>
      </c>
    </row>
    <row r="29" spans="2:6" x14ac:dyDescent="0.2">
      <c r="B29" s="4">
        <v>31835</v>
      </c>
      <c r="C29" s="8">
        <f>671.046*(1/291.613*100)</f>
        <v>230.11525549272497</v>
      </c>
      <c r="D29" s="8">
        <f t="shared" si="0"/>
        <v>172.47013018833616</v>
      </c>
      <c r="E29" s="6">
        <f t="shared" si="1"/>
        <v>3.2728000246237343E-2</v>
      </c>
      <c r="F29" s="7">
        <f>(1+E29)/(1+'inflation-monthly'!D29)-1</f>
        <v>2.0927958152432424E-2</v>
      </c>
    </row>
    <row r="30" spans="2:6" x14ac:dyDescent="0.2">
      <c r="B30" s="4">
        <v>31867</v>
      </c>
      <c r="C30" s="8">
        <f>712.438*(1/291.613*100)</f>
        <v>244.30941007431079</v>
      </c>
      <c r="D30" s="8">
        <f t="shared" si="0"/>
        <v>180.67307444235024</v>
      </c>
      <c r="E30" s="6">
        <f t="shared" si="1"/>
        <v>6.1682805649686978E-2</v>
      </c>
      <c r="F30" s="7">
        <f>(1+E30)/(1+'inflation-monthly'!D30)-1</f>
        <v>4.7561535699292001E-2</v>
      </c>
    </row>
    <row r="31" spans="2:6" x14ac:dyDescent="0.2">
      <c r="B31" s="4">
        <v>31897</v>
      </c>
      <c r="C31" s="8">
        <f>754.049*(1/291.613*100)</f>
        <v>258.57866418849636</v>
      </c>
      <c r="D31" s="8">
        <f t="shared" si="0"/>
        <v>190.26752852438662</v>
      </c>
      <c r="E31" s="6">
        <f t="shared" si="1"/>
        <v>5.8406485897720239E-2</v>
      </c>
      <c r="F31" s="7">
        <f>(1+E31)/(1+'inflation-monthly'!D31)-1</f>
        <v>5.3103950943713008E-2</v>
      </c>
    </row>
    <row r="32" spans="2:6" x14ac:dyDescent="0.2">
      <c r="B32" s="4">
        <v>31926</v>
      </c>
      <c r="C32" s="8">
        <f>754.929*(1/291.613*100)</f>
        <v>258.88043399985594</v>
      </c>
      <c r="D32" s="8">
        <f t="shared" si="0"/>
        <v>190.28569507220422</v>
      </c>
      <c r="E32" s="6">
        <f t="shared" si="1"/>
        <v>1.1670329116542089E-3</v>
      </c>
      <c r="F32" s="7">
        <f>(1+E32)/(1+'inflation-monthly'!D32)-1</f>
        <v>9.5478970891571535E-5</v>
      </c>
    </row>
    <row r="33" spans="2:6" x14ac:dyDescent="0.2">
      <c r="B33" s="4">
        <v>31958</v>
      </c>
      <c r="C33" s="8">
        <f>754.32*(1/291.613*100)</f>
        <v>258.67159557358553</v>
      </c>
      <c r="D33" s="8">
        <f t="shared" si="0"/>
        <v>190.64224491653022</v>
      </c>
      <c r="E33" s="6">
        <f t="shared" si="1"/>
        <v>-8.0669837825797508E-4</v>
      </c>
      <c r="F33" s="7">
        <f>(1+E33)/(1+'inflation-monthly'!D33)-1</f>
        <v>1.8737606323517841E-3</v>
      </c>
    </row>
    <row r="34" spans="2:6" x14ac:dyDescent="0.2">
      <c r="B34" s="4">
        <v>31989</v>
      </c>
      <c r="C34" s="8">
        <f>769.218*(1/291.613*100)</f>
        <v>263.78042131180706</v>
      </c>
      <c r="D34" s="8">
        <f t="shared" si="0"/>
        <v>193.80808925751236</v>
      </c>
      <c r="E34" s="6">
        <f t="shared" si="1"/>
        <v>1.9750238625516836E-2</v>
      </c>
      <c r="F34" s="7">
        <f>(1+E34)/(1+'inflation-monthly'!D34)-1</f>
        <v>1.6606205735608448E-2</v>
      </c>
    </row>
    <row r="35" spans="2:6" x14ac:dyDescent="0.2">
      <c r="B35" s="4">
        <v>32020</v>
      </c>
      <c r="C35" s="8">
        <f>814.51*(1/291.613*100)</f>
        <v>279.31196483010018</v>
      </c>
      <c r="D35" s="8">
        <f t="shared" si="0"/>
        <v>203.04747543621076</v>
      </c>
      <c r="E35" s="6">
        <f t="shared" si="1"/>
        <v>5.8880577417585345E-2</v>
      </c>
      <c r="F35" s="7">
        <f>(1+E35)/(1+'inflation-monthly'!D35)-1</f>
        <v>4.7672861406842681E-2</v>
      </c>
    </row>
    <row r="36" spans="2:6" x14ac:dyDescent="0.2">
      <c r="B36" s="4">
        <v>32050</v>
      </c>
      <c r="C36" s="8">
        <f>800.149*(1/291.613*100)</f>
        <v>274.387287260856</v>
      </c>
      <c r="D36" s="8">
        <f t="shared" si="0"/>
        <v>198.91634578326892</v>
      </c>
      <c r="E36" s="6">
        <f t="shared" si="1"/>
        <v>-1.7631459405041072E-2</v>
      </c>
      <c r="F36" s="7">
        <f>(1+E36)/(1+'inflation-monthly'!D36)-1</f>
        <v>-2.0345634162980075E-2</v>
      </c>
    </row>
    <row r="37" spans="2:6" x14ac:dyDescent="0.2">
      <c r="B37" s="4">
        <v>32080</v>
      </c>
      <c r="C37" s="8">
        <f>664.106*(1/291.613*100)</f>
        <v>227.73538902586645</v>
      </c>
      <c r="D37" s="8">
        <f t="shared" si="0"/>
        <v>163.27144931340655</v>
      </c>
      <c r="E37" s="6">
        <f t="shared" si="1"/>
        <v>-0.17002208338696922</v>
      </c>
      <c r="F37" s="7">
        <f>(1+E37)/(1+'inflation-monthly'!D37)-1</f>
        <v>-0.17919541166666908</v>
      </c>
    </row>
    <row r="38" spans="2:6" x14ac:dyDescent="0.2">
      <c r="B38" s="4">
        <v>32111</v>
      </c>
      <c r="C38" s="8">
        <f>647.759*(1/291.613*100)</f>
        <v>222.12967185962216</v>
      </c>
      <c r="D38" s="8">
        <f t="shared" si="0"/>
        <v>158.66797224408839</v>
      </c>
      <c r="E38" s="6">
        <f t="shared" si="1"/>
        <v>-2.4615046393196227E-2</v>
      </c>
      <c r="F38" s="7">
        <f>(1+E38)/(1+'inflation-monthly'!D38)-1</f>
        <v>-2.819523614616537E-2</v>
      </c>
    </row>
    <row r="39" spans="2:6" x14ac:dyDescent="0.2">
      <c r="B39" s="4">
        <v>32142</v>
      </c>
      <c r="C39" s="8">
        <f>675.624*(1/291.613*100)</f>
        <v>231.6851443522751</v>
      </c>
      <c r="D39" s="8">
        <f t="shared" si="0"/>
        <v>163.27104601968352</v>
      </c>
      <c r="E39" s="6">
        <f t="shared" si="1"/>
        <v>4.3017542017941945E-2</v>
      </c>
      <c r="F39" s="7">
        <f>(1+E39)/(1+'inflation-monthly'!D39)-1</f>
        <v>2.9010730461179302E-2</v>
      </c>
    </row>
    <row r="40" spans="2:6" x14ac:dyDescent="0.2">
      <c r="B40" s="4">
        <v>32171</v>
      </c>
      <c r="C40" s="8">
        <f>691.913*(1/291.613*100)</f>
        <v>237.27097214458888</v>
      </c>
      <c r="D40" s="8">
        <f t="shared" si="0"/>
        <v>164.84451167716986</v>
      </c>
      <c r="E40" s="6">
        <f t="shared" si="1"/>
        <v>2.4109563899447073E-2</v>
      </c>
      <c r="F40" s="7">
        <f>(1+E40)/(1+'inflation-monthly'!D40)-1</f>
        <v>9.6371383404785238E-3</v>
      </c>
    </row>
    <row r="41" spans="2:6" x14ac:dyDescent="0.2">
      <c r="B41" s="4">
        <v>32202</v>
      </c>
      <c r="C41" s="8">
        <f>731.87*(1/291.613*100)</f>
        <v>250.97303618151454</v>
      </c>
      <c r="D41" s="8">
        <f t="shared" si="0"/>
        <v>171.98471709795865</v>
      </c>
      <c r="E41" s="6">
        <f t="shared" si="1"/>
        <v>5.7748589779350823E-2</v>
      </c>
      <c r="F41" s="7">
        <f>(1+E41)/(1+'inflation-monthly'!D41)-1</f>
        <v>4.3314790090021926E-2</v>
      </c>
    </row>
    <row r="42" spans="2:6" x14ac:dyDescent="0.2">
      <c r="B42" s="4">
        <v>32233</v>
      </c>
      <c r="C42" s="8">
        <f>753.77*(1/291.613*100)</f>
        <v>258.48298944148581</v>
      </c>
      <c r="D42" s="8">
        <f t="shared" si="0"/>
        <v>175.94867837353493</v>
      </c>
      <c r="E42" s="6">
        <f t="shared" si="1"/>
        <v>2.9923347042507542E-2</v>
      </c>
      <c r="F42" s="7">
        <f>(1+E42)/(1+'inflation-monthly'!D42)-1</f>
        <v>2.3048334424497163E-2</v>
      </c>
    </row>
    <row r="43" spans="2:6" x14ac:dyDescent="0.2">
      <c r="B43" s="4">
        <v>32262</v>
      </c>
      <c r="C43" s="8">
        <f>763.076*(1/291.613*100)</f>
        <v>261.67420519661334</v>
      </c>
      <c r="D43" s="8">
        <f t="shared" si="0"/>
        <v>177.45883108255398</v>
      </c>
      <c r="E43" s="6">
        <f t="shared" si="1"/>
        <v>1.2345941069556998E-2</v>
      </c>
      <c r="F43" s="7">
        <f>(1+E43)/(1+'inflation-monthly'!D43)-1</f>
        <v>8.582915898993182E-3</v>
      </c>
    </row>
    <row r="44" spans="2:6" x14ac:dyDescent="0.2">
      <c r="B44" s="4">
        <v>32294</v>
      </c>
      <c r="C44" s="8">
        <f>747.624*(1/291.613*100)</f>
        <v>256.37540164533129</v>
      </c>
      <c r="D44" s="8">
        <f t="shared" si="0"/>
        <v>173.28162193339247</v>
      </c>
      <c r="E44" s="6">
        <f t="shared" si="1"/>
        <v>-2.0249621269703311E-2</v>
      </c>
      <c r="F44" s="7">
        <f>(1+E44)/(1+'inflation-monthly'!D44)-1</f>
        <v>-2.3539032257111403E-2</v>
      </c>
    </row>
    <row r="45" spans="2:6" x14ac:dyDescent="0.2">
      <c r="B45" s="4">
        <v>32324</v>
      </c>
      <c r="C45" s="8">
        <f>746.387*(1/291.613*100)</f>
        <v>255.95120930822696</v>
      </c>
      <c r="D45" s="8">
        <f t="shared" si="0"/>
        <v>172.09335057613654</v>
      </c>
      <c r="E45" s="6">
        <f t="shared" si="1"/>
        <v>-1.6545750270190451E-3</v>
      </c>
      <c r="F45" s="7">
        <f>(1+E45)/(1+'inflation-monthly'!D45)-1</f>
        <v>-6.8574574960562629E-3</v>
      </c>
    </row>
    <row r="46" spans="2:6" x14ac:dyDescent="0.2">
      <c r="B46" s="4">
        <v>32353</v>
      </c>
      <c r="C46" s="8">
        <f>760.221*(1/291.613*100)</f>
        <v>260.69516791089558</v>
      </c>
      <c r="D46" s="8">
        <f t="shared" si="0"/>
        <v>173.8563774054675</v>
      </c>
      <c r="E46" s="6">
        <f t="shared" si="1"/>
        <v>1.8534620779836697E-2</v>
      </c>
      <c r="F46" s="7">
        <f>(1+E46)/(1+'inflation-monthly'!D46)-1</f>
        <v>1.0244595874440598E-2</v>
      </c>
    </row>
    <row r="47" spans="2:6" x14ac:dyDescent="0.2">
      <c r="B47" s="4">
        <v>32386</v>
      </c>
      <c r="C47" s="8">
        <f>718.253*(1/291.613*100)</f>
        <v>246.30349127096528</v>
      </c>
      <c r="D47" s="8">
        <f t="shared" si="0"/>
        <v>162.13335287626765</v>
      </c>
      <c r="E47" s="6">
        <f t="shared" si="1"/>
        <v>-5.5204999598800764E-2</v>
      </c>
      <c r="F47" s="7">
        <f>(1+E47)/(1+'inflation-monthly'!D47)-1</f>
        <v>-6.7429361546280431E-2</v>
      </c>
    </row>
    <row r="48" spans="2:6" x14ac:dyDescent="0.2">
      <c r="B48" s="4">
        <v>32416</v>
      </c>
      <c r="C48" s="8">
        <f>748.52*(1/291.613*100)</f>
        <v>256.68265818053379</v>
      </c>
      <c r="D48" s="8">
        <f t="shared" si="0"/>
        <v>167.25414339176291</v>
      </c>
      <c r="E48" s="6">
        <f t="shared" si="1"/>
        <v>4.2139747414908113E-2</v>
      </c>
      <c r="F48" s="7">
        <f>(1+E48)/(1+'inflation-monthly'!D48)-1</f>
        <v>3.1583819273775182E-2</v>
      </c>
    </row>
    <row r="49" spans="2:6" x14ac:dyDescent="0.2">
      <c r="B49" s="4">
        <v>32447</v>
      </c>
      <c r="C49" s="8">
        <f>798.132*(1/291.613*100)</f>
        <v>273.69561713641019</v>
      </c>
      <c r="D49" s="8">
        <f t="shared" si="0"/>
        <v>176.77123226797877</v>
      </c>
      <c r="E49" s="6">
        <f t="shared" si="1"/>
        <v>6.6280126115534355E-2</v>
      </c>
      <c r="F49" s="7">
        <f>(1+E49)/(1+'inflation-monthly'!D49)-1</f>
        <v>5.6901961788317523E-2</v>
      </c>
    </row>
    <row r="50" spans="2:6" x14ac:dyDescent="0.2">
      <c r="B50" s="4">
        <v>32477</v>
      </c>
      <c r="C50" s="8">
        <f>825.706*(1/291.613*100)</f>
        <v>283.15129983917041</v>
      </c>
      <c r="D50" s="8">
        <f t="shared" si="0"/>
        <v>180.33956176517484</v>
      </c>
      <c r="E50" s="6">
        <f t="shared" si="1"/>
        <v>3.4548169976896137E-2</v>
      </c>
      <c r="F50" s="7">
        <f>(1+E50)/(1+'inflation-monthly'!D50)-1</f>
        <v>2.0186143703442738E-2</v>
      </c>
    </row>
    <row r="51" spans="2:6" x14ac:dyDescent="0.2">
      <c r="B51" s="4">
        <v>32507</v>
      </c>
      <c r="C51" s="8">
        <f>832.956*(1/291.613*100)</f>
        <v>285.63747158048511</v>
      </c>
      <c r="D51" s="8">
        <f t="shared" si="0"/>
        <v>179.79480578253336</v>
      </c>
      <c r="E51" s="6">
        <f t="shared" si="1"/>
        <v>8.7803649240771886E-3</v>
      </c>
      <c r="F51" s="7">
        <f>(1+E51)/(1+'inflation-monthly'!D51)-1</f>
        <v>-3.0207236687800343E-3</v>
      </c>
    </row>
    <row r="52" spans="2:6" x14ac:dyDescent="0.2">
      <c r="B52" s="4">
        <v>32539</v>
      </c>
      <c r="C52" s="8">
        <f>862.88*(1/291.613*100)</f>
        <v>295.89901684767136</v>
      </c>
      <c r="D52" s="8">
        <f t="shared" si="0"/>
        <v>182.99838535335809</v>
      </c>
      <c r="E52" s="6">
        <f t="shared" si="1"/>
        <v>3.5925066870278632E-2</v>
      </c>
      <c r="F52" s="7">
        <f>(1+E52)/(1+'inflation-monthly'!D52)-1</f>
        <v>1.7817976202824992E-2</v>
      </c>
    </row>
    <row r="53" spans="2:6" x14ac:dyDescent="0.2">
      <c r="B53" s="4">
        <v>32567</v>
      </c>
      <c r="C53" s="8">
        <f>857.236*(1/291.613*100)</f>
        <v>293.96357501208792</v>
      </c>
      <c r="D53" s="8">
        <f t="shared" si="0"/>
        <v>179.39732888907909</v>
      </c>
      <c r="E53" s="6">
        <f t="shared" si="1"/>
        <v>-6.5408863341367418E-3</v>
      </c>
      <c r="F53" s="7">
        <f>(1+E53)/(1+'inflation-monthly'!D53)-1</f>
        <v>-1.967807780011599E-2</v>
      </c>
    </row>
    <row r="54" spans="2:6" x14ac:dyDescent="0.2">
      <c r="B54" s="4">
        <v>32598</v>
      </c>
      <c r="C54" s="8">
        <f>851.517*(1/291.613*100)</f>
        <v>292.00241415849086</v>
      </c>
      <c r="D54" s="8">
        <f t="shared" si="0"/>
        <v>176.69053662032144</v>
      </c>
      <c r="E54" s="6">
        <f t="shared" si="1"/>
        <v>-6.6714417033348905E-3</v>
      </c>
      <c r="F54" s="7">
        <f>(1+E54)/(1+'inflation-monthly'!D54)-1</f>
        <v>-1.5088252904987498E-2</v>
      </c>
    </row>
    <row r="55" spans="2:6" x14ac:dyDescent="0.2">
      <c r="B55" s="4">
        <v>32626</v>
      </c>
      <c r="C55" s="8">
        <f>870.942*(1/291.613*100)</f>
        <v>298.66363982401333</v>
      </c>
      <c r="D55" s="8">
        <f t="shared" si="0"/>
        <v>178.89485875907721</v>
      </c>
      <c r="E55" s="6">
        <f t="shared" si="1"/>
        <v>2.2812228058864292E-2</v>
      </c>
      <c r="F55" s="7">
        <f>(1+E55)/(1+'inflation-monthly'!D55)-1</f>
        <v>1.2475609508688645E-2</v>
      </c>
    </row>
    <row r="56" spans="2:6" x14ac:dyDescent="0.2">
      <c r="B56" s="4">
        <v>32659</v>
      </c>
      <c r="C56" s="8">
        <f>849.365*(1/291.613*100)</f>
        <v>291.26444980162063</v>
      </c>
      <c r="D56" s="8">
        <f t="shared" si="0"/>
        <v>174.15462028117688</v>
      </c>
      <c r="E56" s="6">
        <f t="shared" si="1"/>
        <v>-2.4774324811525972E-2</v>
      </c>
      <c r="F56" s="7">
        <f>(1+E56)/(1+'inflation-monthly'!D56)-1</f>
        <v>-2.6497343248327421E-2</v>
      </c>
    </row>
    <row r="57" spans="2:6" x14ac:dyDescent="0.2">
      <c r="B57" s="4">
        <v>32689</v>
      </c>
      <c r="C57" s="8">
        <f>839.555*(1/291.613*100)</f>
        <v>287.90040224544168</v>
      </c>
      <c r="D57" s="8">
        <f t="shared" si="0"/>
        <v>170.99604149083842</v>
      </c>
      <c r="E57" s="6">
        <f t="shared" si="1"/>
        <v>-1.1549804854214751E-2</v>
      </c>
      <c r="F57" s="7">
        <f>(1+E57)/(1+'inflation-monthly'!D57)-1</f>
        <v>-1.813663505015739E-2</v>
      </c>
    </row>
    <row r="58" spans="2:6" x14ac:dyDescent="0.2">
      <c r="B58" s="4">
        <v>32720</v>
      </c>
      <c r="C58" s="8">
        <f>934.194*(1/291.613*100)</f>
        <v>320.35403085596317</v>
      </c>
      <c r="D58" s="8">
        <f t="shared" si="0"/>
        <v>188.51198125651618</v>
      </c>
      <c r="E58" s="6">
        <f t="shared" si="1"/>
        <v>0.1127251937038074</v>
      </c>
      <c r="F58" s="7">
        <f>(1+E58)/(1+'inflation-monthly'!D58)-1</f>
        <v>0.10243476757101555</v>
      </c>
    </row>
    <row r="59" spans="2:6" x14ac:dyDescent="0.2">
      <c r="B59" s="4">
        <v>32751</v>
      </c>
      <c r="C59" s="8">
        <f>911.357*(1/291.613*100)</f>
        <v>312.52276133094199</v>
      </c>
      <c r="D59" s="8">
        <f t="shared" si="0"/>
        <v>180.92202000083302</v>
      </c>
      <c r="E59" s="6">
        <f t="shared" si="1"/>
        <v>-2.4445671883998377E-2</v>
      </c>
      <c r="F59" s="7">
        <f>(1+E59)/(1+'inflation-monthly'!D59)-1</f>
        <v>-4.0262487323578622E-2</v>
      </c>
    </row>
    <row r="60" spans="2:6" x14ac:dyDescent="0.2">
      <c r="B60" s="4">
        <v>32780</v>
      </c>
      <c r="C60" s="8">
        <f>936.856*(1/291.613*100)</f>
        <v>321.26688453532591</v>
      </c>
      <c r="D60" s="8">
        <f t="shared" si="0"/>
        <v>185.58380965148433</v>
      </c>
      <c r="E60" s="6">
        <f t="shared" si="1"/>
        <v>2.7979156356949142E-2</v>
      </c>
      <c r="F60" s="7">
        <f>(1+E60)/(1+'inflation-monthly'!D60)-1</f>
        <v>2.5766845023230678E-2</v>
      </c>
    </row>
    <row r="61" spans="2:6" x14ac:dyDescent="0.2">
      <c r="B61" s="4">
        <v>32812</v>
      </c>
      <c r="C61" s="8">
        <f>905.377*(1/291.613*100)</f>
        <v>310.4720982946576</v>
      </c>
      <c r="D61" s="8">
        <f t="shared" si="0"/>
        <v>178.46074327097759</v>
      </c>
      <c r="E61" s="6">
        <f t="shared" si="1"/>
        <v>-3.3600681428095802E-2</v>
      </c>
      <c r="F61" s="7">
        <f>(1+E61)/(1+'inflation-monthly'!D61)-1</f>
        <v>-3.8381938563948226E-2</v>
      </c>
    </row>
    <row r="62" spans="2:6" x14ac:dyDescent="0.2">
      <c r="B62" s="4">
        <v>32842</v>
      </c>
      <c r="C62" s="8">
        <f>941.282*(1/291.613*100)</f>
        <v>322.7846495183685</v>
      </c>
      <c r="D62" s="8">
        <f t="shared" si="0"/>
        <v>183.81869139796709</v>
      </c>
      <c r="E62" s="6">
        <f t="shared" si="1"/>
        <v>3.9657512837193876E-2</v>
      </c>
      <c r="F62" s="7">
        <f>(1+E62)/(1+'inflation-monthly'!D62)-1</f>
        <v>3.0023118971626683E-2</v>
      </c>
    </row>
    <row r="63" spans="2:6" x14ac:dyDescent="0.2">
      <c r="B63" s="4">
        <v>32871</v>
      </c>
      <c r="C63" s="8">
        <f>971.297*(1/291.613*100)</f>
        <v>333.07740052741133</v>
      </c>
      <c r="D63" s="8">
        <f t="shared" si="0"/>
        <v>187.70724185158127</v>
      </c>
      <c r="E63" s="6">
        <f t="shared" si="1"/>
        <v>3.1887362129521257E-2</v>
      </c>
      <c r="F63" s="7">
        <f>(1+E63)/(1+'inflation-monthly'!D63)-1</f>
        <v>2.115427122259006E-2</v>
      </c>
    </row>
    <row r="64" spans="2:6" x14ac:dyDescent="0.2">
      <c r="B64" s="4">
        <v>32904</v>
      </c>
      <c r="C64" s="8">
        <f>925.695*(1/291.613*100)</f>
        <v>317.43955173466202</v>
      </c>
      <c r="D64" s="8">
        <f t="shared" si="0"/>
        <v>174.69952900445244</v>
      </c>
      <c r="E64" s="6">
        <f t="shared" si="1"/>
        <v>-4.6949594202391309E-2</v>
      </c>
      <c r="F64" s="7">
        <f>(1+E64)/(1+'inflation-monthly'!D64)-1</f>
        <v>-6.9297874279213634E-2</v>
      </c>
    </row>
    <row r="65" spans="2:6" x14ac:dyDescent="0.2">
      <c r="B65" s="4">
        <v>32932</v>
      </c>
      <c r="C65" s="8">
        <f>885.751*(1/291.613*100)</f>
        <v>303.74194566085873</v>
      </c>
      <c r="D65" s="8">
        <f t="shared" si="0"/>
        <v>163.51569077422906</v>
      </c>
      <c r="E65" s="6">
        <f t="shared" si="1"/>
        <v>-4.3150281680251035E-2</v>
      </c>
      <c r="F65" s="7">
        <f>(1+E65)/(1+'inflation-monthly'!D65)-1</f>
        <v>-6.4017563721871062E-2</v>
      </c>
    </row>
    <row r="66" spans="2:6" x14ac:dyDescent="0.2">
      <c r="B66" s="4">
        <v>32962</v>
      </c>
      <c r="C66" s="8">
        <f>832.006*(1/291.613*100)</f>
        <v>285.31169735231282</v>
      </c>
      <c r="D66" s="8">
        <f t="shared" si="0"/>
        <v>152.69985485476755</v>
      </c>
      <c r="E66" s="6">
        <f t="shared" si="1"/>
        <v>-6.067732353675015E-2</v>
      </c>
      <c r="F66" s="7">
        <f>(1+E66)/(1+'inflation-monthly'!D66)-1</f>
        <v>-6.6145553789056621E-2</v>
      </c>
    </row>
    <row r="67" spans="2:6" x14ac:dyDescent="0.2">
      <c r="B67" s="4">
        <v>32993</v>
      </c>
      <c r="C67" s="8">
        <f>819.754*(1/291.613*100)</f>
        <v>281.11023856961111</v>
      </c>
      <c r="D67" s="8">
        <f t="shared" si="0"/>
        <v>148.73654918693816</v>
      </c>
      <c r="E67" s="6">
        <f t="shared" si="1"/>
        <v>-1.4725855342389238E-2</v>
      </c>
      <c r="F67" s="7">
        <f>(1+E67)/(1+'inflation-monthly'!D67)-1</f>
        <v>-2.5954875147712997E-2</v>
      </c>
    </row>
    <row r="68" spans="2:6" x14ac:dyDescent="0.2">
      <c r="B68" s="4">
        <v>33024</v>
      </c>
      <c r="C68" s="8">
        <f>905.816*(1/291.613*100)</f>
        <v>310.62264028009724</v>
      </c>
      <c r="D68" s="8">
        <f t="shared" ref="D68:D131" si="2">D67*(1+F68)</f>
        <v>162.62720205882005</v>
      </c>
      <c r="E68" s="6">
        <f t="shared" si="1"/>
        <v>0.10498515408281017</v>
      </c>
      <c r="F68" s="7">
        <f>(1+E68)/(1+'inflation-monthly'!D68)-1</f>
        <v>9.3390985254226511E-2</v>
      </c>
    </row>
    <row r="69" spans="2:6" x14ac:dyDescent="0.2">
      <c r="B69" s="4">
        <v>33053</v>
      </c>
      <c r="C69" s="8">
        <f>899.096*(1/291.613*100)</f>
        <v>308.31821626607865</v>
      </c>
      <c r="D69" s="8">
        <f t="shared" si="2"/>
        <v>160.94800684902128</v>
      </c>
      <c r="E69" s="6">
        <f t="shared" ref="E69:E132" si="3">C69/C68-1</f>
        <v>-7.4187252157171812E-3</v>
      </c>
      <c r="F69" s="7">
        <f>(1+E69)/(1+'inflation-monthly'!D69)-1</f>
        <v>-1.0325426426456064E-2</v>
      </c>
    </row>
    <row r="70" spans="2:6" x14ac:dyDescent="0.2">
      <c r="B70" s="4">
        <v>33085</v>
      </c>
      <c r="C70" s="8">
        <f>907.018*(1/291.613*100)</f>
        <v>311.03483040879524</v>
      </c>
      <c r="D70" s="8">
        <f t="shared" si="2"/>
        <v>161.22366482368764</v>
      </c>
      <c r="E70" s="6">
        <f t="shared" si="3"/>
        <v>8.8110724549994579E-3</v>
      </c>
      <c r="F70" s="7">
        <f>(1+E70)/(1+'inflation-monthly'!D70)-1</f>
        <v>1.7127144353203949E-3</v>
      </c>
    </row>
    <row r="71" spans="2:6" x14ac:dyDescent="0.2">
      <c r="B71" s="4">
        <v>33116</v>
      </c>
      <c r="C71" s="8">
        <f>821.844*(1/291.613*100)</f>
        <v>281.82694187159012</v>
      </c>
      <c r="D71" s="8">
        <f t="shared" si="2"/>
        <v>144.3694108592785</v>
      </c>
      <c r="E71" s="6">
        <f t="shared" si="3"/>
        <v>-9.3905523374398281E-2</v>
      </c>
      <c r="F71" s="7">
        <f>(1+E71)/(1+'inflation-monthly'!D71)-1</f>
        <v>-0.10453957849699524</v>
      </c>
    </row>
    <row r="72" spans="2:6" x14ac:dyDescent="0.2">
      <c r="B72" s="4">
        <v>33144</v>
      </c>
      <c r="C72" s="8">
        <f>734.905*(1/291.613*100)</f>
        <v>252.01379911046487</v>
      </c>
      <c r="D72" s="8">
        <f t="shared" si="2"/>
        <v>127.74099240704594</v>
      </c>
      <c r="E72" s="6">
        <f t="shared" si="3"/>
        <v>-0.10578528285173361</v>
      </c>
      <c r="F72" s="7">
        <f>(1+E72)/(1+'inflation-monthly'!D72)-1</f>
        <v>-0.11517965165377597</v>
      </c>
    </row>
    <row r="73" spans="2:6" x14ac:dyDescent="0.2">
      <c r="B73" s="4">
        <v>33177</v>
      </c>
      <c r="C73" s="8">
        <f>803.227*(1/291.613*100)</f>
        <v>275.44279576013412</v>
      </c>
      <c r="D73" s="8">
        <f t="shared" si="2"/>
        <v>138.1147394362512</v>
      </c>
      <c r="E73" s="6">
        <f t="shared" si="3"/>
        <v>9.2967118198950871E-2</v>
      </c>
      <c r="F73" s="7">
        <f>(1+E73)/(1+'inflation-monthly'!D73)-1</f>
        <v>8.1209225274760488E-2</v>
      </c>
    </row>
    <row r="74" spans="2:6" x14ac:dyDescent="0.2">
      <c r="B74" s="4">
        <v>33207</v>
      </c>
      <c r="C74" s="8">
        <f>789.752*(1/291.613*100)</f>
        <v>270.8219455236906</v>
      </c>
      <c r="D74" s="8">
        <f t="shared" si="2"/>
        <v>134.91990704327395</v>
      </c>
      <c r="E74" s="6">
        <f t="shared" si="3"/>
        <v>-1.6776079489359885E-2</v>
      </c>
      <c r="F74" s="7">
        <f>(1+E74)/(1+'inflation-monthly'!D74)-1</f>
        <v>-2.3131726606571701E-2</v>
      </c>
    </row>
    <row r="75" spans="2:6" x14ac:dyDescent="0.2">
      <c r="B75" s="4">
        <v>33238</v>
      </c>
      <c r="C75" s="8">
        <f>806.004*(1/291.613*100)</f>
        <v>276.39508526711774</v>
      </c>
      <c r="D75" s="8">
        <f t="shared" si="2"/>
        <v>136.64111058640842</v>
      </c>
      <c r="E75" s="6">
        <f t="shared" si="3"/>
        <v>2.0578612019976017E-2</v>
      </c>
      <c r="F75" s="7">
        <f>(1+E75)/(1+'inflation-monthly'!D75)-1</f>
        <v>1.2757224496029451E-2</v>
      </c>
    </row>
    <row r="76" spans="2:6" x14ac:dyDescent="0.2">
      <c r="B76" s="4">
        <v>33269</v>
      </c>
      <c r="C76" s="8">
        <f>835.195*(1/291.613*100)</f>
        <v>286.40526999825113</v>
      </c>
      <c r="D76" s="8">
        <f t="shared" si="2"/>
        <v>138.57690713455713</v>
      </c>
      <c r="E76" s="6">
        <f t="shared" si="3"/>
        <v>3.6216941851405338E-2</v>
      </c>
      <c r="F76" s="7">
        <f>(1+E76)/(1+'inflation-monthly'!D76)-1</f>
        <v>1.4167014157313806E-2</v>
      </c>
    </row>
    <row r="77" spans="2:6" x14ac:dyDescent="0.2">
      <c r="B77" s="4">
        <v>33297</v>
      </c>
      <c r="C77" s="8">
        <f>912.224*(1/291.613*100)</f>
        <v>312.82007317917925</v>
      </c>
      <c r="D77" s="8">
        <f t="shared" si="2"/>
        <v>148.82296417683534</v>
      </c>
      <c r="E77" s="6">
        <f t="shared" si="3"/>
        <v>9.2228760948041888E-2</v>
      </c>
      <c r="F77" s="7">
        <f>(1+E77)/(1+'inflation-monthly'!D77)-1</f>
        <v>7.393769462850952E-2</v>
      </c>
    </row>
    <row r="78" spans="2:6" x14ac:dyDescent="0.2">
      <c r="B78" s="4">
        <v>33326</v>
      </c>
      <c r="C78" s="8">
        <f>885.059*(1/291.613*100)</f>
        <v>303.50464485465324</v>
      </c>
      <c r="D78" s="8">
        <f t="shared" si="2"/>
        <v>143.59257359228729</v>
      </c>
      <c r="E78" s="6">
        <f t="shared" si="3"/>
        <v>-2.9778870102080246E-2</v>
      </c>
      <c r="F78" s="7">
        <f>(1+E78)/(1+'inflation-monthly'!D78)-1</f>
        <v>-3.514505045292049E-2</v>
      </c>
    </row>
    <row r="79" spans="2:6" x14ac:dyDescent="0.2">
      <c r="B79" s="4">
        <v>33358</v>
      </c>
      <c r="C79" s="8">
        <f>891.704*(1/291.613*100)</f>
        <v>305.78334985065823</v>
      </c>
      <c r="D79" s="8">
        <f t="shared" si="2"/>
        <v>143.67512690206505</v>
      </c>
      <c r="E79" s="6">
        <f t="shared" si="3"/>
        <v>7.5079740446681864E-3</v>
      </c>
      <c r="F79" s="7">
        <f>(1+E79)/(1+'inflation-monthly'!D79)-1</f>
        <v>5.7491350501281957E-4</v>
      </c>
    </row>
    <row r="80" spans="2:6" x14ac:dyDescent="0.2">
      <c r="B80" s="4">
        <v>33389</v>
      </c>
      <c r="C80" s="8">
        <f>911.635*(1/291.613*100)</f>
        <v>312.61809315771245</v>
      </c>
      <c r="D80" s="8">
        <f t="shared" si="2"/>
        <v>145.82434842612184</v>
      </c>
      <c r="E80" s="6">
        <f t="shared" si="3"/>
        <v>2.2351587522316807E-2</v>
      </c>
      <c r="F80" s="7">
        <f>(1+E80)/(1+'inflation-monthly'!D80)-1</f>
        <v>1.4958897690912076E-2</v>
      </c>
    </row>
    <row r="81" spans="2:6" x14ac:dyDescent="0.2">
      <c r="B81" s="4">
        <v>33417</v>
      </c>
      <c r="C81" s="8">
        <f>855.081*(1/291.613*100)</f>
        <v>293.22458189449713</v>
      </c>
      <c r="D81" s="8">
        <f t="shared" si="2"/>
        <v>135.87692161261324</v>
      </c>
      <c r="E81" s="6">
        <f t="shared" si="3"/>
        <v>-6.2035792833754821E-2</v>
      </c>
      <c r="F81" s="7">
        <f>(1+E81)/(1+'inflation-monthly'!D81)-1</f>
        <v>-6.8215129509378247E-2</v>
      </c>
    </row>
    <row r="82" spans="2:6" x14ac:dyDescent="0.2">
      <c r="B82" s="4">
        <v>33450</v>
      </c>
      <c r="C82" s="8">
        <f>895.189*(1/291.613*100)</f>
        <v>306.97842688769015</v>
      </c>
      <c r="D82" s="8">
        <f t="shared" si="2"/>
        <v>141.60680301465675</v>
      </c>
      <c r="E82" s="6">
        <f t="shared" si="3"/>
        <v>4.690549784172493E-2</v>
      </c>
      <c r="F82" s="7">
        <f>(1+E82)/(1+'inflation-monthly'!D82)-1</f>
        <v>4.216964392510647E-2</v>
      </c>
    </row>
    <row r="83" spans="2:6" x14ac:dyDescent="0.2">
      <c r="B83" s="4">
        <v>33480</v>
      </c>
      <c r="C83" s="8">
        <f>892.068*(1/291.613*100)</f>
        <v>305.90817281808421</v>
      </c>
      <c r="D83" s="8">
        <f t="shared" si="2"/>
        <v>140.19094390083228</v>
      </c>
      <c r="E83" s="6">
        <f t="shared" si="3"/>
        <v>-3.4864146007155261E-3</v>
      </c>
      <c r="F83" s="7">
        <f>(1+E83)/(1+'inflation-monthly'!D83)-1</f>
        <v>-9.9985246731254529E-3</v>
      </c>
    </row>
    <row r="84" spans="2:6" x14ac:dyDescent="0.2">
      <c r="B84" s="4">
        <v>33511</v>
      </c>
      <c r="C84" s="8">
        <f>915.185*(1/291.613*100)</f>
        <v>313.83546001035614</v>
      </c>
      <c r="D84" s="8">
        <f t="shared" si="2"/>
        <v>143.54776488808099</v>
      </c>
      <c r="E84" s="6">
        <f t="shared" si="3"/>
        <v>2.5913943780070614E-2</v>
      </c>
      <c r="F84" s="7">
        <f>(1+E84)/(1+'inflation-monthly'!D84)-1</f>
        <v>2.3944635037361994E-2</v>
      </c>
    </row>
    <row r="85" spans="2:6" x14ac:dyDescent="0.2">
      <c r="B85" s="4">
        <v>33542</v>
      </c>
      <c r="C85" s="8">
        <f>929.747*(1/291.613*100)</f>
        <v>318.82906454787678</v>
      </c>
      <c r="D85" s="8">
        <f t="shared" si="2"/>
        <v>145.02226587309275</v>
      </c>
      <c r="E85" s="6">
        <f t="shared" si="3"/>
        <v>1.5911537011642496E-2</v>
      </c>
      <c r="F85" s="7">
        <f>(1+E85)/(1+'inflation-monthly'!D85)-1</f>
        <v>1.0271849137890587E-2</v>
      </c>
    </row>
    <row r="86" spans="2:6" x14ac:dyDescent="0.2">
      <c r="B86" s="4">
        <v>33571</v>
      </c>
      <c r="C86" s="8">
        <f>888.95*(1/291.613*100)</f>
        <v>304.83894750919882</v>
      </c>
      <c r="D86" s="8">
        <f t="shared" si="2"/>
        <v>137.98412784264735</v>
      </c>
      <c r="E86" s="6">
        <f t="shared" si="3"/>
        <v>-4.3879679095495838E-2</v>
      </c>
      <c r="F86" s="7">
        <f>(1+E86)/(1+'inflation-monthly'!D86)-1</f>
        <v>-4.8531430591523095E-2</v>
      </c>
    </row>
    <row r="87" spans="2:6" x14ac:dyDescent="0.2">
      <c r="B87" s="4">
        <v>33603</v>
      </c>
      <c r="C87" s="8">
        <f>953.376*(1/291.613*100)</f>
        <v>326.93192690312156</v>
      </c>
      <c r="D87" s="8">
        <f t="shared" si="2"/>
        <v>147.09765975680776</v>
      </c>
      <c r="E87" s="6">
        <f t="shared" si="3"/>
        <v>7.2474267394116554E-2</v>
      </c>
      <c r="F87" s="7">
        <f>(1+E87)/(1+'inflation-monthly'!D87)-1</f>
        <v>6.6047682850546297E-2</v>
      </c>
    </row>
    <row r="88" spans="2:6" x14ac:dyDescent="0.2">
      <c r="B88" s="4">
        <v>33634</v>
      </c>
      <c r="C88" s="8">
        <f>935.445*(1/291.613*100)</f>
        <v>320.78302407643008</v>
      </c>
      <c r="D88" s="8">
        <f t="shared" si="2"/>
        <v>141.86287512508198</v>
      </c>
      <c r="E88" s="6">
        <f t="shared" si="3"/>
        <v>-1.8807899506595338E-2</v>
      </c>
      <c r="F88" s="7">
        <f>(1+E88)/(1+'inflation-monthly'!D88)-1</f>
        <v>-3.5587137418639281E-2</v>
      </c>
    </row>
    <row r="89" spans="2:6" x14ac:dyDescent="0.2">
      <c r="B89" s="4">
        <v>33662</v>
      </c>
      <c r="C89" s="8">
        <f>919.024*(1/291.613*100)</f>
        <v>315.15193081241233</v>
      </c>
      <c r="D89" s="8">
        <f t="shared" si="2"/>
        <v>137.76799862202333</v>
      </c>
      <c r="E89" s="6">
        <f t="shared" si="3"/>
        <v>-1.7554212166402183E-2</v>
      </c>
      <c r="F89" s="7">
        <f>(1+E89)/(1+'inflation-monthly'!D89)-1</f>
        <v>-2.886503251430772E-2</v>
      </c>
    </row>
    <row r="90" spans="2:6" x14ac:dyDescent="0.2">
      <c r="B90" s="4">
        <v>33694</v>
      </c>
      <c r="C90" s="8">
        <f>875.45*(1/291.613*100)</f>
        <v>300.2095242667508</v>
      </c>
      <c r="D90" s="8">
        <f t="shared" si="2"/>
        <v>129.99246835966918</v>
      </c>
      <c r="E90" s="6">
        <f t="shared" si="3"/>
        <v>-4.7413342850676332E-2</v>
      </c>
      <c r="F90" s="7">
        <f>(1+E90)/(1+'inflation-monthly'!D90)-1</f>
        <v>-5.6439306225874009E-2</v>
      </c>
    </row>
    <row r="91" spans="2:6" x14ac:dyDescent="0.2">
      <c r="B91" s="4">
        <v>33724</v>
      </c>
      <c r="C91" s="8">
        <f>887.368*(1/291.613*100)</f>
        <v>304.29644768923197</v>
      </c>
      <c r="D91" s="8">
        <f t="shared" si="2"/>
        <v>129.79107664400823</v>
      </c>
      <c r="E91" s="6">
        <f t="shared" si="3"/>
        <v>1.3613570163915734E-2</v>
      </c>
      <c r="F91" s="7">
        <f>(1+E91)/(1+'inflation-monthly'!D91)-1</f>
        <v>-1.5492568008149687E-3</v>
      </c>
    </row>
    <row r="92" spans="2:6" x14ac:dyDescent="0.2">
      <c r="B92" s="4">
        <v>33753</v>
      </c>
      <c r="C92" s="8">
        <f>922.382*(1/291.613*100)</f>
        <v>316.30345697894126</v>
      </c>
      <c r="D92" s="8">
        <f t="shared" si="2"/>
        <v>133.74955871024653</v>
      </c>
      <c r="E92" s="6">
        <f t="shared" si="3"/>
        <v>3.9458263088143708E-2</v>
      </c>
      <c r="F92" s="7">
        <f>(1+E92)/(1+'inflation-monthly'!D92)-1</f>
        <v>3.0498876876533298E-2</v>
      </c>
    </row>
    <row r="93" spans="2:6" x14ac:dyDescent="0.2">
      <c r="B93" s="4">
        <v>33785</v>
      </c>
      <c r="C93" s="8">
        <f>891.197*(1/291.613*100)</f>
        <v>305.60948928888627</v>
      </c>
      <c r="D93" s="8">
        <f t="shared" si="2"/>
        <v>128.72181004002996</v>
      </c>
      <c r="E93" s="6">
        <f t="shared" si="3"/>
        <v>-3.3809202694762064E-2</v>
      </c>
      <c r="F93" s="7">
        <f>(1+E93)/(1+'inflation-monthly'!D93)-1</f>
        <v>-3.7590768288878085E-2</v>
      </c>
    </row>
    <row r="94" spans="2:6" x14ac:dyDescent="0.2">
      <c r="B94" s="4">
        <v>33816</v>
      </c>
      <c r="C94" s="8">
        <f>893.181*(1/291.613*100)</f>
        <v>306.28984304540609</v>
      </c>
      <c r="D94" s="8">
        <f t="shared" si="2"/>
        <v>128.45924300458424</v>
      </c>
      <c r="E94" s="6">
        <f t="shared" si="3"/>
        <v>2.2262193431981103E-3</v>
      </c>
      <c r="F94" s="7">
        <f>(1+E94)/(1+'inflation-monthly'!D94)-1</f>
        <v>-2.0398022321476139E-3</v>
      </c>
    </row>
    <row r="95" spans="2:6" x14ac:dyDescent="0.2">
      <c r="B95" s="4">
        <v>33847</v>
      </c>
      <c r="C95" s="8">
        <f>914.607*(1/291.613*100)</f>
        <v>313.63725211153138</v>
      </c>
      <c r="D95" s="8">
        <f t="shared" si="2"/>
        <v>130.95511884355463</v>
      </c>
      <c r="E95" s="6">
        <f t="shared" si="3"/>
        <v>2.3988418920688925E-2</v>
      </c>
      <c r="F95" s="7">
        <f>(1+E95)/(1+'inflation-monthly'!D95)-1</f>
        <v>1.9429320775939285E-2</v>
      </c>
    </row>
    <row r="96" spans="2:6" x14ac:dyDescent="0.2">
      <c r="B96" s="4">
        <v>33877</v>
      </c>
      <c r="C96" s="8">
        <f>905.929*(1/291.613*100)</f>
        <v>310.66139026723772</v>
      </c>
      <c r="D96" s="8">
        <f t="shared" si="2"/>
        <v>129.69173225243347</v>
      </c>
      <c r="E96" s="6">
        <f t="shared" si="3"/>
        <v>-9.4882282772820181E-3</v>
      </c>
      <c r="F96" s="7">
        <f>(1+E96)/(1+'inflation-monthly'!D96)-1</f>
        <v>-9.6474777181521087E-3</v>
      </c>
    </row>
    <row r="97" spans="2:6" x14ac:dyDescent="0.2">
      <c r="B97" s="4">
        <v>33907</v>
      </c>
      <c r="C97" s="8">
        <f>881.1*(1/291.613*100)</f>
        <v>302.14702362377534</v>
      </c>
      <c r="D97" s="8">
        <f t="shared" si="2"/>
        <v>125.70352895040584</v>
      </c>
      <c r="E97" s="6">
        <f t="shared" si="3"/>
        <v>-2.7407225069514207E-2</v>
      </c>
      <c r="F97" s="7">
        <f>(1+E97)/(1+'inflation-monthly'!D97)-1</f>
        <v>-3.0751407454909674E-2</v>
      </c>
    </row>
    <row r="98" spans="2:6" x14ac:dyDescent="0.2">
      <c r="B98" s="4">
        <v>33938</v>
      </c>
      <c r="C98" s="8">
        <f>896.586*(1/291.613*100)</f>
        <v>307.45748646322352</v>
      </c>
      <c r="D98" s="8">
        <f t="shared" si="2"/>
        <v>127.490383183747</v>
      </c>
      <c r="E98" s="6">
        <f t="shared" si="3"/>
        <v>1.7575757575757578E-2</v>
      </c>
      <c r="F98" s="7">
        <f>(1+E98)/(1+'inflation-monthly'!D98)-1</f>
        <v>1.4214829514023641E-2</v>
      </c>
    </row>
    <row r="99" spans="2:6" x14ac:dyDescent="0.2">
      <c r="B99" s="4">
        <v>33969</v>
      </c>
      <c r="C99" s="8">
        <f>903.55*(1/291.613*100)</f>
        <v>309.84558301584633</v>
      </c>
      <c r="D99" s="8">
        <f t="shared" si="2"/>
        <v>127.98292736134763</v>
      </c>
      <c r="E99" s="6">
        <f t="shared" si="3"/>
        <v>7.7672415139204976E-3</v>
      </c>
      <c r="F99" s="7">
        <f>(1+E99)/(1+'inflation-monthly'!D99)-1</f>
        <v>3.8633829885879045E-3</v>
      </c>
    </row>
    <row r="100" spans="2:6" x14ac:dyDescent="0.2">
      <c r="B100" s="4">
        <v>33998</v>
      </c>
      <c r="C100" s="8">
        <f>906.301*(1/291.613*100)</f>
        <v>310.78895659658519</v>
      </c>
      <c r="D100" s="8">
        <f t="shared" si="2"/>
        <v>126.5549186455179</v>
      </c>
      <c r="E100" s="6">
        <f t="shared" si="3"/>
        <v>3.0446571855460292E-3</v>
      </c>
      <c r="F100" s="7">
        <f>(1+E100)/(1+'inflation-monthly'!D100)-1</f>
        <v>-1.1157806320509334E-2</v>
      </c>
    </row>
    <row r="101" spans="2:6" x14ac:dyDescent="0.2">
      <c r="B101" s="4">
        <v>34026</v>
      </c>
      <c r="C101" s="8">
        <f>927.499*(1/291.613*100)</f>
        <v>318.05817984794919</v>
      </c>
      <c r="D101" s="8">
        <f t="shared" si="2"/>
        <v>128.55553389061171</v>
      </c>
      <c r="E101" s="6">
        <f t="shared" si="3"/>
        <v>2.3389580282930478E-2</v>
      </c>
      <c r="F101" s="7">
        <f>(1+E101)/(1+'inflation-monthly'!D101)-1</f>
        <v>1.5808277279981242E-2</v>
      </c>
    </row>
    <row r="102" spans="2:6" x14ac:dyDescent="0.2">
      <c r="B102" s="4">
        <v>34059</v>
      </c>
      <c r="C102" s="8">
        <f>981*(1/291.613*100)</f>
        <v>336.40475561789083</v>
      </c>
      <c r="D102" s="8">
        <f t="shared" si="2"/>
        <v>135.42720383257947</v>
      </c>
      <c r="E102" s="6">
        <f t="shared" si="3"/>
        <v>5.7683081059925589E-2</v>
      </c>
      <c r="F102" s="7">
        <f>(1+E102)/(1+'inflation-monthly'!D102)-1</f>
        <v>5.3452929905101421E-2</v>
      </c>
    </row>
    <row r="103" spans="2:6" x14ac:dyDescent="0.2">
      <c r="B103" s="4">
        <v>34089</v>
      </c>
      <c r="C103" s="8">
        <f>1026.195*(1/291.613*100)</f>
        <v>351.90303587288628</v>
      </c>
      <c r="D103" s="8">
        <f t="shared" si="2"/>
        <v>140.86981419920374</v>
      </c>
      <c r="E103" s="6">
        <f t="shared" si="3"/>
        <v>4.6070336391437205E-2</v>
      </c>
      <c r="F103" s="7">
        <f>(1+E103)/(1+'inflation-monthly'!D103)-1</f>
        <v>4.0188457064746386E-2</v>
      </c>
    </row>
    <row r="104" spans="2:6" x14ac:dyDescent="0.2">
      <c r="B104" s="4">
        <v>34120</v>
      </c>
      <c r="C104" s="8">
        <f>1049.573*(1/291.613*100)</f>
        <v>359.91982524784561</v>
      </c>
      <c r="D104" s="8">
        <f t="shared" si="2"/>
        <v>143.4078906440306</v>
      </c>
      <c r="E104" s="6">
        <f t="shared" si="3"/>
        <v>2.2781245279893447E-2</v>
      </c>
      <c r="F104" s="7">
        <f>(1+E104)/(1+'inflation-monthly'!D104)-1</f>
        <v>1.8017177485857738E-2</v>
      </c>
    </row>
    <row r="105" spans="2:6" x14ac:dyDescent="0.2">
      <c r="B105" s="4">
        <v>34150</v>
      </c>
      <c r="C105" s="8">
        <f>1040.498*(1/291.613*100)</f>
        <v>356.80782406819998</v>
      </c>
      <c r="D105" s="8">
        <f t="shared" si="2"/>
        <v>141.84361311756177</v>
      </c>
      <c r="E105" s="6">
        <f t="shared" si="3"/>
        <v>-8.6463733346798799E-3</v>
      </c>
      <c r="F105" s="7">
        <f>(1+E105)/(1+'inflation-monthly'!D105)-1</f>
        <v>-1.0907890210530291E-2</v>
      </c>
    </row>
    <row r="106" spans="2:6" x14ac:dyDescent="0.2">
      <c r="B106" s="4">
        <v>34180</v>
      </c>
      <c r="C106" s="8">
        <f>1061.664*(1/291.613*100)</f>
        <v>364.06607387187813</v>
      </c>
      <c r="D106" s="8">
        <f t="shared" si="2"/>
        <v>143.88397163665059</v>
      </c>
      <c r="E106" s="6">
        <f t="shared" si="3"/>
        <v>2.0342182301167355E-2</v>
      </c>
      <c r="F106" s="7">
        <f>(1+E106)/(1+'inflation-monthly'!D106)-1</f>
        <v>1.4384563916866266E-2</v>
      </c>
    </row>
    <row r="107" spans="2:6" x14ac:dyDescent="0.2">
      <c r="B107" s="4">
        <v>34212</v>
      </c>
      <c r="C107" s="8">
        <f>1110.067*(1/291.613*100)</f>
        <v>380.66444225737536</v>
      </c>
      <c r="D107" s="8">
        <f t="shared" si="2"/>
        <v>149.86305776374851</v>
      </c>
      <c r="E107" s="6">
        <f t="shared" si="3"/>
        <v>4.559163727883786E-2</v>
      </c>
      <c r="F107" s="7">
        <f>(1+E107)/(1+'inflation-monthly'!D107)-1</f>
        <v>4.1554914415323996E-2</v>
      </c>
    </row>
    <row r="108" spans="2:6" x14ac:dyDescent="0.2">
      <c r="B108" s="4">
        <v>34242</v>
      </c>
      <c r="C108" s="8">
        <f>1089.292*(1/291.613*100)</f>
        <v>373.54027426760808</v>
      </c>
      <c r="D108" s="8">
        <f t="shared" si="2"/>
        <v>146.64057442844245</v>
      </c>
      <c r="E108" s="6">
        <f t="shared" si="3"/>
        <v>-1.871508656684695E-2</v>
      </c>
      <c r="F108" s="7">
        <f>(1+E108)/(1+'inflation-monthly'!D108)-1</f>
        <v>-2.1502853227418739E-2</v>
      </c>
    </row>
    <row r="109" spans="2:6" x14ac:dyDescent="0.2">
      <c r="B109" s="4">
        <v>34271</v>
      </c>
      <c r="C109" s="8">
        <f>1119.047*(1/291.613*100)</f>
        <v>383.74386601420377</v>
      </c>
      <c r="D109" s="8">
        <f t="shared" si="2"/>
        <v>149.84514018591958</v>
      </c>
      <c r="E109" s="6">
        <f t="shared" si="3"/>
        <v>2.7315907947547569E-2</v>
      </c>
      <c r="F109" s="7">
        <f>(1+E109)/(1+'inflation-monthly'!D109)-1</f>
        <v>2.1853199702520865E-2</v>
      </c>
    </row>
    <row r="110" spans="2:6" x14ac:dyDescent="0.2">
      <c r="B110" s="4">
        <v>34303</v>
      </c>
      <c r="C110" s="8">
        <f>1055.482*(1/291.613*100)</f>
        <v>361.94614094707708</v>
      </c>
      <c r="D110" s="8">
        <f t="shared" si="2"/>
        <v>140.45979834721518</v>
      </c>
      <c r="E110" s="6">
        <f t="shared" si="3"/>
        <v>-5.6802797380271053E-2</v>
      </c>
      <c r="F110" s="7">
        <f>(1+E110)/(1+'inflation-monthly'!D110)-1</f>
        <v>-6.2633608451095446E-2</v>
      </c>
    </row>
    <row r="111" spans="2:6" x14ac:dyDescent="0.2">
      <c r="B111" s="4">
        <v>34334</v>
      </c>
      <c r="C111" s="8">
        <f>1106.871*(1/291.613*100)</f>
        <v>379.56846916975582</v>
      </c>
      <c r="D111" s="8">
        <f t="shared" si="2"/>
        <v>146.92245759615307</v>
      </c>
      <c r="E111" s="6">
        <f t="shared" si="3"/>
        <v>4.8687708554006726E-2</v>
      </c>
      <c r="F111" s="7">
        <f>(1+E111)/(1+'inflation-monthly'!D111)-1</f>
        <v>4.6010739905536946E-2</v>
      </c>
    </row>
    <row r="112" spans="2:6" x14ac:dyDescent="0.2">
      <c r="B112" s="4">
        <v>34365</v>
      </c>
      <c r="C112" s="8">
        <f>1179.617*(1/291.613*100)</f>
        <v>404.51454496198727</v>
      </c>
      <c r="D112" s="8">
        <f t="shared" si="2"/>
        <v>154.68877868821153</v>
      </c>
      <c r="E112" s="6">
        <f t="shared" si="3"/>
        <v>6.5722202496948601E-2</v>
      </c>
      <c r="F112" s="7">
        <f>(1+E112)/(1+'inflation-monthly'!D112)-1</f>
        <v>5.28599998878716E-2</v>
      </c>
    </row>
    <row r="113" spans="2:6" x14ac:dyDescent="0.2">
      <c r="B113" s="4">
        <v>34393</v>
      </c>
      <c r="C113" s="8">
        <f>1164.091*(1/291.613*100)</f>
        <v>399.19036531293182</v>
      </c>
      <c r="D113" s="8">
        <f t="shared" si="2"/>
        <v>151.8174528634932</v>
      </c>
      <c r="E113" s="6">
        <f t="shared" si="3"/>
        <v>-1.3161899158794843E-2</v>
      </c>
      <c r="F113" s="7">
        <f>(1+E113)/(1+'inflation-monthly'!D113)-1</f>
        <v>-1.856195290355056E-2</v>
      </c>
    </row>
    <row r="114" spans="2:6" x14ac:dyDescent="0.2">
      <c r="B114" s="4">
        <v>34424</v>
      </c>
      <c r="C114" s="8">
        <f>1113.644*(1/291.613*100)</f>
        <v>381.891067956504</v>
      </c>
      <c r="D114" s="8">
        <f t="shared" si="2"/>
        <v>144.9078914524778</v>
      </c>
      <c r="E114" s="6">
        <f t="shared" si="3"/>
        <v>-4.3335959130342827E-2</v>
      </c>
      <c r="F114" s="7">
        <f>(1+E114)/(1+'inflation-monthly'!D114)-1</f>
        <v>-4.5512299677614498E-2</v>
      </c>
    </row>
    <row r="115" spans="2:6" x14ac:dyDescent="0.2">
      <c r="B115" s="4">
        <v>34453</v>
      </c>
      <c r="C115" s="8">
        <f>1147.809*(1/291.613*100)</f>
        <v>393.6069379622993</v>
      </c>
      <c r="D115" s="8">
        <f t="shared" si="2"/>
        <v>148.51367520889289</v>
      </c>
      <c r="E115" s="6">
        <f t="shared" si="3"/>
        <v>3.0678565142900016E-2</v>
      </c>
      <c r="F115" s="7">
        <f>(1+E115)/(1+'inflation-monthly'!D115)-1</f>
        <v>2.4883280822546539E-2</v>
      </c>
    </row>
    <row r="116" spans="2:6" x14ac:dyDescent="0.2">
      <c r="B116" s="4">
        <v>34485</v>
      </c>
      <c r="C116" s="8">
        <f>1150.502*(1/291.613*100)</f>
        <v>394.53042216910768</v>
      </c>
      <c r="D116" s="8">
        <f t="shared" si="2"/>
        <v>148.52853919186455</v>
      </c>
      <c r="E116" s="6">
        <f t="shared" si="3"/>
        <v>2.3462091689472331E-3</v>
      </c>
      <c r="F116" s="7">
        <f>(1+E116)/(1+'inflation-monthly'!D116)-1</f>
        <v>1.0008494470792328E-4</v>
      </c>
    </row>
    <row r="117" spans="2:6" x14ac:dyDescent="0.2">
      <c r="B117" s="4">
        <v>34515</v>
      </c>
      <c r="C117" s="8">
        <f>1147.044*(1/291.613*100)</f>
        <v>393.34460397856066</v>
      </c>
      <c r="D117" s="8">
        <f t="shared" si="2"/>
        <v>147.87469014347315</v>
      </c>
      <c r="E117" s="6">
        <f t="shared" si="3"/>
        <v>-3.0056444925778969E-3</v>
      </c>
      <c r="F117" s="7">
        <f>(1+E117)/(1+'inflation-monthly'!D117)-1</f>
        <v>-4.402177870656887E-3</v>
      </c>
    </row>
    <row r="118" spans="2:6" x14ac:dyDescent="0.2">
      <c r="B118" s="4">
        <v>34544</v>
      </c>
      <c r="C118" s="8">
        <f>1168.588*(1/291.613*100)</f>
        <v>400.73247763302732</v>
      </c>
      <c r="D118" s="8">
        <f t="shared" si="2"/>
        <v>150.39788227817479</v>
      </c>
      <c r="E118" s="6">
        <f t="shared" si="3"/>
        <v>1.8782191441653273E-2</v>
      </c>
      <c r="F118" s="7">
        <f>(1+E118)/(1+'inflation-monthly'!D118)-1</f>
        <v>1.706304258188851E-2</v>
      </c>
    </row>
    <row r="119" spans="2:6" x14ac:dyDescent="0.2">
      <c r="B119" s="4">
        <v>34577</v>
      </c>
      <c r="C119" s="8">
        <f>1203.514*(1/291.613*100)</f>
        <v>412.70930994160062</v>
      </c>
      <c r="D119" s="8">
        <f t="shared" si="2"/>
        <v>154.6071157891335</v>
      </c>
      <c r="E119" s="6">
        <f t="shared" si="3"/>
        <v>2.9887351230715842E-2</v>
      </c>
      <c r="F119" s="7">
        <f>(1+E119)/(1+'inflation-monthly'!D119)-1</f>
        <v>2.7987319018051959E-2</v>
      </c>
    </row>
    <row r="120" spans="2:6" x14ac:dyDescent="0.2">
      <c r="B120" s="4">
        <v>34607</v>
      </c>
      <c r="C120" s="8">
        <f>1171.626*(1/291.613*100)</f>
        <v>401.77426932269822</v>
      </c>
      <c r="D120" s="8">
        <f t="shared" si="2"/>
        <v>150.3731979329649</v>
      </c>
      <c r="E120" s="6">
        <f t="shared" si="3"/>
        <v>-2.6495744960174816E-2</v>
      </c>
      <c r="F120" s="7">
        <f>(1+E120)/(1+'inflation-monthly'!D120)-1</f>
        <v>-2.7385012873166747E-2</v>
      </c>
    </row>
    <row r="121" spans="2:6" x14ac:dyDescent="0.2">
      <c r="B121" s="4">
        <v>34638</v>
      </c>
      <c r="C121" s="8">
        <f>1204.684*(1/291.613*100)</f>
        <v>413.11052662261284</v>
      </c>
      <c r="D121" s="8">
        <f t="shared" si="2"/>
        <v>154.02112858522625</v>
      </c>
      <c r="E121" s="6">
        <f t="shared" si="3"/>
        <v>2.8215488560342727E-2</v>
      </c>
      <c r="F121" s="7">
        <f>(1+E121)/(1+'inflation-monthly'!D121)-1</f>
        <v>2.4259181173280409E-2</v>
      </c>
    </row>
    <row r="122" spans="2:6" x14ac:dyDescent="0.2">
      <c r="B122" s="4">
        <v>34668</v>
      </c>
      <c r="C122" s="8">
        <f>1152.169*(1/291.613*100)</f>
        <v>395.10207020948997</v>
      </c>
      <c r="D122" s="8">
        <f t="shared" si="2"/>
        <v>147.02059988328514</v>
      </c>
      <c r="E122" s="6">
        <f t="shared" si="3"/>
        <v>-4.3592344548445849E-2</v>
      </c>
      <c r="F122" s="7">
        <f>(1+E122)/(1+'inflation-monthly'!D122)-1</f>
        <v>-4.5451742668327633E-2</v>
      </c>
    </row>
    <row r="123" spans="2:6" x14ac:dyDescent="0.2">
      <c r="B123" s="4">
        <v>34698</v>
      </c>
      <c r="C123" s="8">
        <f>1163.056*(1/291.613*100)</f>
        <v>398.8354428643442</v>
      </c>
      <c r="D123" s="8">
        <f t="shared" si="2"/>
        <v>147.95950027140259</v>
      </c>
      <c r="E123" s="6">
        <f t="shared" si="3"/>
        <v>9.4491346321590175E-3</v>
      </c>
      <c r="F123" s="7">
        <f>(1+E123)/(1+'inflation-monthly'!D123)-1</f>
        <v>6.3861825408331185E-3</v>
      </c>
    </row>
    <row r="124" spans="2:6" x14ac:dyDescent="0.2">
      <c r="B124" s="4">
        <v>34730</v>
      </c>
      <c r="C124" s="8">
        <f>1145.319*(1/291.613*100)</f>
        <v>392.75306656424777</v>
      </c>
      <c r="D124" s="8">
        <f t="shared" si="2"/>
        <v>143.64920860534886</v>
      </c>
      <c r="E124" s="6">
        <f t="shared" si="3"/>
        <v>-1.5250340482315772E-2</v>
      </c>
      <c r="F124" s="7">
        <f>(1+E124)/(1+'inflation-monthly'!D124)-1</f>
        <v>-2.913156409792772E-2</v>
      </c>
    </row>
    <row r="125" spans="2:6" x14ac:dyDescent="0.2">
      <c r="B125" s="4">
        <v>34758</v>
      </c>
      <c r="C125" s="8">
        <f>1161.738*(1/291.613*100)</f>
        <v>398.38347398778518</v>
      </c>
      <c r="D125" s="8">
        <f t="shared" si="2"/>
        <v>144.88253021293943</v>
      </c>
      <c r="E125" s="6">
        <f t="shared" si="3"/>
        <v>1.4335744015422813E-2</v>
      </c>
      <c r="F125" s="7">
        <f>(1+E125)/(1+'inflation-monthly'!D125)-1</f>
        <v>8.5856484665982613E-3</v>
      </c>
    </row>
    <row r="126" spans="2:6" x14ac:dyDescent="0.2">
      <c r="B126" s="4">
        <v>34789</v>
      </c>
      <c r="C126" s="8">
        <f>1217.451*(1/291.613*100)</f>
        <v>417.48858932900794</v>
      </c>
      <c r="D126" s="8">
        <f t="shared" si="2"/>
        <v>151.12688106377178</v>
      </c>
      <c r="E126" s="6">
        <f t="shared" si="3"/>
        <v>4.7956596065549917E-2</v>
      </c>
      <c r="F126" s="7">
        <f>(1+E126)/(1+'inflation-monthly'!D126)-1</f>
        <v>4.3099405025952997E-2</v>
      </c>
    </row>
    <row r="127" spans="2:6" x14ac:dyDescent="0.2">
      <c r="B127" s="4">
        <v>34817</v>
      </c>
      <c r="C127" s="8">
        <f>1259.598*(1/291.613*100)</f>
        <v>431.94164869193071</v>
      </c>
      <c r="D127" s="8">
        <f t="shared" si="2"/>
        <v>155.68783411209358</v>
      </c>
      <c r="E127" s="6">
        <f t="shared" si="3"/>
        <v>3.4619052430036268E-2</v>
      </c>
      <c r="F127" s="7">
        <f>(1+E127)/(1+'inflation-monthly'!D127)-1</f>
        <v>3.0179627980261081E-2</v>
      </c>
    </row>
    <row r="128" spans="2:6" x14ac:dyDescent="0.2">
      <c r="B128" s="4">
        <v>34850</v>
      </c>
      <c r="C128" s="8">
        <f>1270.088*(1/291.613*100)</f>
        <v>435.53888201143292</v>
      </c>
      <c r="D128" s="8">
        <f t="shared" si="2"/>
        <v>157.10565806683459</v>
      </c>
      <c r="E128" s="6">
        <f t="shared" si="3"/>
        <v>8.3280538711556495E-3</v>
      </c>
      <c r="F128" s="7">
        <f>(1+E128)/(1+'inflation-monthly'!D128)-1</f>
        <v>9.1068384554711113E-3</v>
      </c>
    </row>
    <row r="129" spans="2:6" x14ac:dyDescent="0.2">
      <c r="B129" s="4">
        <v>34880</v>
      </c>
      <c r="C129" s="8">
        <f>1269.412*(1/291.613*100)</f>
        <v>435.3070679290704</v>
      </c>
      <c r="D129" s="8">
        <f t="shared" si="2"/>
        <v>157.35745828411837</v>
      </c>
      <c r="E129" s="6">
        <f t="shared" si="3"/>
        <v>-5.3224658448847162E-4</v>
      </c>
      <c r="F129" s="7">
        <f>(1+E129)/(1+'inflation-monthly'!D129)-1</f>
        <v>1.6027444229707033E-3</v>
      </c>
    </row>
    <row r="130" spans="2:6" x14ac:dyDescent="0.2">
      <c r="B130" s="4">
        <v>34911</v>
      </c>
      <c r="C130" s="8">
        <f>1332.64*(1/291.613*100)</f>
        <v>456.98922887525595</v>
      </c>
      <c r="D130" s="8">
        <f t="shared" si="2"/>
        <v>165.14159752989286</v>
      </c>
      <c r="E130" s="6">
        <f t="shared" si="3"/>
        <v>4.9808887894552845E-2</v>
      </c>
      <c r="F130" s="7">
        <f>(1+E130)/(1+'inflation-monthly'!D130)-1</f>
        <v>4.9467876074356543E-2</v>
      </c>
    </row>
    <row r="131" spans="2:6" x14ac:dyDescent="0.2">
      <c r="B131" s="4">
        <v>34942</v>
      </c>
      <c r="C131" s="8">
        <f>1302.664*(1/291.613*100)</f>
        <v>446.70985175558013</v>
      </c>
      <c r="D131" s="8">
        <f t="shared" si="2"/>
        <v>160.76021497881041</v>
      </c>
      <c r="E131" s="6">
        <f t="shared" si="3"/>
        <v>-2.2493696722295731E-2</v>
      </c>
      <c r="F131" s="7">
        <f>(1+E131)/(1+'inflation-monthly'!D131)-1</f>
        <v>-2.6531065562020895E-2</v>
      </c>
    </row>
    <row r="132" spans="2:6" x14ac:dyDescent="0.2">
      <c r="B132" s="4">
        <v>34971</v>
      </c>
      <c r="C132" s="8">
        <f>1340.324*(1/291.613*100)</f>
        <v>459.6242280008093</v>
      </c>
      <c r="D132" s="8">
        <f t="shared" ref="D132:D195" si="4">D131*(1+F132)</f>
        <v>165.18379180045432</v>
      </c>
      <c r="E132" s="6">
        <f t="shared" si="3"/>
        <v>2.89099875332397E-2</v>
      </c>
      <c r="F132" s="7">
        <f>(1+E132)/(1+'inflation-monthly'!D132)-1</f>
        <v>2.7516614245800541E-2</v>
      </c>
    </row>
    <row r="133" spans="2:6" x14ac:dyDescent="0.2">
      <c r="B133" s="4">
        <v>35003</v>
      </c>
      <c r="C133" s="8">
        <f>1318.933*(1/291.613*100)</f>
        <v>452.28882114309033</v>
      </c>
      <c r="D133" s="8">
        <f t="shared" si="4"/>
        <v>161.99156933619517</v>
      </c>
      <c r="E133" s="6">
        <f t="shared" ref="E133:E196" si="5">C133/C132-1</f>
        <v>-1.5959573953760464E-2</v>
      </c>
      <c r="F133" s="7">
        <f>(1+E133)/(1+'inflation-monthly'!D133)-1</f>
        <v>-1.9325276587156992E-2</v>
      </c>
    </row>
    <row r="134" spans="2:6" x14ac:dyDescent="0.2">
      <c r="B134" s="4">
        <v>35033</v>
      </c>
      <c r="C134" s="8">
        <f>1364.441*(1/291.613*100)</f>
        <v>467.89443543326257</v>
      </c>
      <c r="D134" s="8">
        <f t="shared" si="4"/>
        <v>167.462717526983</v>
      </c>
      <c r="E134" s="6">
        <f t="shared" si="5"/>
        <v>3.4503648024577505E-2</v>
      </c>
      <c r="F134" s="7">
        <f>(1+E134)/(1+'inflation-monthly'!D134)-1</f>
        <v>3.3774277347934589E-2</v>
      </c>
    </row>
    <row r="135" spans="2:6" x14ac:dyDescent="0.2">
      <c r="B135" s="4">
        <v>35062</v>
      </c>
      <c r="C135" s="8">
        <f>1404.045*(1/291.613*100)</f>
        <v>481.47544862540423</v>
      </c>
      <c r="D135" s="8">
        <f t="shared" si="4"/>
        <v>172.50060200636725</v>
      </c>
      <c r="E135" s="6">
        <f t="shared" si="5"/>
        <v>2.9025806172637836E-2</v>
      </c>
      <c r="F135" s="7">
        <f>(1+E135)/(1+'inflation-monthly'!D135)-1</f>
        <v>3.0083618334764584E-2</v>
      </c>
    </row>
    <row r="136" spans="2:6" x14ac:dyDescent="0.2">
      <c r="B136" s="4">
        <v>35095</v>
      </c>
      <c r="C136" s="8">
        <f>1429.154*(1/291.613*100)</f>
        <v>490.08583293611736</v>
      </c>
      <c r="D136" s="8">
        <f t="shared" si="4"/>
        <v>174.77033776335495</v>
      </c>
      <c r="E136" s="6">
        <f t="shared" si="5"/>
        <v>1.788332995025077E-2</v>
      </c>
      <c r="F136" s="7">
        <f>(1+E136)/(1+'inflation-monthly'!D136)-1</f>
        <v>1.3157842526856367E-2</v>
      </c>
    </row>
    <row r="137" spans="2:6" x14ac:dyDescent="0.2">
      <c r="B137" s="4">
        <v>35124</v>
      </c>
      <c r="C137" s="8">
        <f>1437.564*(1/291.613*100)</f>
        <v>492.96979215604244</v>
      </c>
      <c r="D137" s="8">
        <f t="shared" si="4"/>
        <v>174.77123747049791</v>
      </c>
      <c r="E137" s="6">
        <f t="shared" si="5"/>
        <v>5.8846002600141389E-3</v>
      </c>
      <c r="F137" s="7">
        <f>(1+E137)/(1+'inflation-monthly'!D137)-1</f>
        <v>5.147939601712892E-6</v>
      </c>
    </row>
    <row r="138" spans="2:6" x14ac:dyDescent="0.2">
      <c r="B138" s="4">
        <v>35153</v>
      </c>
      <c r="C138" s="8">
        <f>1461.188*(1/291.613*100)</f>
        <v>501.07093991008634</v>
      </c>
      <c r="D138" s="8">
        <f t="shared" si="4"/>
        <v>177.01713633295606</v>
      </c>
      <c r="E138" s="6">
        <f t="shared" si="5"/>
        <v>1.6433355314963372E-2</v>
      </c>
      <c r="F138" s="7">
        <f>(1+E138)/(1+'inflation-monthly'!D138)-1</f>
        <v>1.2850506152863206E-2</v>
      </c>
    </row>
    <row r="139" spans="2:6" x14ac:dyDescent="0.2">
      <c r="B139" s="4">
        <v>35185</v>
      </c>
      <c r="C139" s="8">
        <f>1495.247*(1/291.613*100)</f>
        <v>512.7504603704225</v>
      </c>
      <c r="D139" s="8">
        <f t="shared" si="4"/>
        <v>179.69970737857759</v>
      </c>
      <c r="E139" s="6">
        <f t="shared" si="5"/>
        <v>2.3309115596350516E-2</v>
      </c>
      <c r="F139" s="7">
        <f>(1+E139)/(1+'inflation-monthly'!D139)-1</f>
        <v>1.515430144896146E-2</v>
      </c>
    </row>
    <row r="140" spans="2:6" x14ac:dyDescent="0.2">
      <c r="B140" s="4">
        <v>35216</v>
      </c>
      <c r="C140" s="8">
        <f>1496.24*(1/291.613*100)</f>
        <v>513.09098016892244</v>
      </c>
      <c r="D140" s="8">
        <f t="shared" si="4"/>
        <v>179.14422447109999</v>
      </c>
      <c r="E140" s="6">
        <f t="shared" si="5"/>
        <v>6.6410432523822394E-4</v>
      </c>
      <c r="F140" s="7">
        <f>(1+E140)/(1+'inflation-monthly'!D140)-1</f>
        <v>-3.091173133116798E-3</v>
      </c>
    </row>
    <row r="141" spans="2:6" x14ac:dyDescent="0.2">
      <c r="B141" s="4">
        <v>35244</v>
      </c>
      <c r="C141" s="8">
        <f>1503.506*(1/291.613*100)</f>
        <v>515.58263863408013</v>
      </c>
      <c r="D141" s="8">
        <f t="shared" si="4"/>
        <v>180.09765198633917</v>
      </c>
      <c r="E141" s="6">
        <f t="shared" si="5"/>
        <v>4.8561728065017462E-3</v>
      </c>
      <c r="F141" s="7">
        <f>(1+E141)/(1+'inflation-monthly'!D141)-1</f>
        <v>5.3221225415112094E-3</v>
      </c>
    </row>
    <row r="142" spans="2:6" x14ac:dyDescent="0.2">
      <c r="B142" s="4">
        <v>35277</v>
      </c>
      <c r="C142" s="8">
        <f>1450.069*(1/291.613*100)</f>
        <v>497.25800975951</v>
      </c>
      <c r="D142" s="8">
        <f t="shared" si="4"/>
        <v>173.43983383620872</v>
      </c>
      <c r="E142" s="6">
        <f t="shared" si="5"/>
        <v>-3.5541594114024244E-2</v>
      </c>
      <c r="F142" s="7">
        <f>(1+E142)/(1+'inflation-monthly'!D142)-1</f>
        <v>-3.6967823159823721E-2</v>
      </c>
    </row>
    <row r="143" spans="2:6" x14ac:dyDescent="0.2">
      <c r="B143" s="4">
        <v>35307</v>
      </c>
      <c r="C143" s="8">
        <f>1466.435*(1/291.613*100)</f>
        <v>502.87024241031776</v>
      </c>
      <c r="D143" s="8">
        <f t="shared" si="4"/>
        <v>174.88537730678306</v>
      </c>
      <c r="E143" s="6">
        <f t="shared" si="5"/>
        <v>1.1286359476686991E-2</v>
      </c>
      <c r="F143" s="7">
        <f>(1+E143)/(1+'inflation-monthly'!D143)-1</f>
        <v>8.3345529028784338E-3</v>
      </c>
    </row>
    <row r="144" spans="2:6" x14ac:dyDescent="0.2">
      <c r="B144" s="4">
        <v>35338</v>
      </c>
      <c r="C144" s="8">
        <f>1523.547*(1/291.613*100)</f>
        <v>522.45510316755428</v>
      </c>
      <c r="D144" s="8">
        <f t="shared" si="4"/>
        <v>181.71544337568778</v>
      </c>
      <c r="E144" s="6">
        <f t="shared" si="5"/>
        <v>3.8946151721692468E-2</v>
      </c>
      <c r="F144" s="7">
        <f>(1+E144)/(1+'inflation-monthly'!D144)-1</f>
        <v>3.9054529166972385E-2</v>
      </c>
    </row>
    <row r="145" spans="2:6" x14ac:dyDescent="0.2">
      <c r="B145" s="4">
        <v>35369</v>
      </c>
      <c r="C145" s="8">
        <f>1533.881*(1/291.613*100)</f>
        <v>525.99884092958825</v>
      </c>
      <c r="D145" s="8">
        <f t="shared" si="4"/>
        <v>183.04886351139459</v>
      </c>
      <c r="E145" s="6">
        <f t="shared" si="5"/>
        <v>6.7828560589204834E-3</v>
      </c>
      <c r="F145" s="7">
        <f>(1+E145)/(1+'inflation-monthly'!D145)-1</f>
        <v>7.337957142971252E-3</v>
      </c>
    </row>
    <row r="146" spans="2:6" x14ac:dyDescent="0.2">
      <c r="B146" s="4">
        <v>35398</v>
      </c>
      <c r="C146" s="8">
        <f>1619.535*(1/291.613*100)</f>
        <v>555.37133118208033</v>
      </c>
      <c r="D146" s="8">
        <f t="shared" si="4"/>
        <v>192.91405497910509</v>
      </c>
      <c r="E146" s="6">
        <f t="shared" si="5"/>
        <v>5.5841359271025404E-2</v>
      </c>
      <c r="F146" s="7">
        <f>(1+E146)/(1+'inflation-monthly'!D146)-1</f>
        <v>5.3893759723323331E-2</v>
      </c>
    </row>
    <row r="147" spans="2:6" x14ac:dyDescent="0.2">
      <c r="B147" s="4">
        <v>35430</v>
      </c>
      <c r="C147" s="8">
        <f>1593.294*(1/291.613*100)</f>
        <v>546.37276115948191</v>
      </c>
      <c r="D147" s="8">
        <f t="shared" si="4"/>
        <v>189.69802837731621</v>
      </c>
      <c r="E147" s="6">
        <f t="shared" si="5"/>
        <v>-1.6202798951550856E-2</v>
      </c>
      <c r="F147" s="7">
        <f>(1+E147)/(1+'inflation-monthly'!D147)-1</f>
        <v>-1.6670773947171535E-2</v>
      </c>
    </row>
    <row r="148" spans="2:6" x14ac:dyDescent="0.2">
      <c r="B148" s="4">
        <v>35461</v>
      </c>
      <c r="C148" s="8">
        <f>1612.197*(1/291.613*100)</f>
        <v>552.8549824596297</v>
      </c>
      <c r="D148" s="8">
        <f t="shared" si="4"/>
        <v>190.79125729777419</v>
      </c>
      <c r="E148" s="6">
        <f t="shared" si="5"/>
        <v>1.1864100410846845E-2</v>
      </c>
      <c r="F148" s="7">
        <f>(1+E148)/(1+'inflation-monthly'!D148)-1</f>
        <v>5.7629956927307546E-3</v>
      </c>
    </row>
    <row r="149" spans="2:6" x14ac:dyDescent="0.2">
      <c r="B149" s="4">
        <v>35489</v>
      </c>
      <c r="C149" s="8">
        <f>1630.438*(1/291.613*100)</f>
        <v>559.11019056077748</v>
      </c>
      <c r="D149" s="8">
        <f t="shared" si="4"/>
        <v>192.62256978176839</v>
      </c>
      <c r="E149" s="6">
        <f t="shared" si="5"/>
        <v>1.1314374111848657E-2</v>
      </c>
      <c r="F149" s="7">
        <f>(1+E149)/(1+'inflation-monthly'!D149)-1</f>
        <v>9.5985136317646713E-3</v>
      </c>
    </row>
    <row r="150" spans="2:6" x14ac:dyDescent="0.2">
      <c r="B150" s="4">
        <v>35520</v>
      </c>
      <c r="C150" s="8">
        <f>1597.883*(1/291.613*100)</f>
        <v>547.94642214167402</v>
      </c>
      <c r="D150" s="8">
        <f t="shared" si="4"/>
        <v>188.52893010337763</v>
      </c>
      <c r="E150" s="6">
        <f t="shared" si="5"/>
        <v>-1.9967027265066273E-2</v>
      </c>
      <c r="F150" s="7">
        <f>(1+E150)/(1+'inflation-monthly'!D150)-1</f>
        <v>-2.1252128880995813E-2</v>
      </c>
    </row>
    <row r="151" spans="2:6" x14ac:dyDescent="0.2">
      <c r="B151" s="4">
        <v>35550</v>
      </c>
      <c r="C151" s="8">
        <f>1649.809*(1/291.613*100)</f>
        <v>565.75289853333015</v>
      </c>
      <c r="D151" s="8">
        <f t="shared" si="4"/>
        <v>194.34341009415115</v>
      </c>
      <c r="E151" s="6">
        <f t="shared" si="5"/>
        <v>3.2496747258716763E-2</v>
      </c>
      <c r="F151" s="7">
        <f>(1+E151)/(1+'inflation-monthly'!D151)-1</f>
        <v>3.0841314314918211E-2</v>
      </c>
    </row>
    <row r="152" spans="2:6" x14ac:dyDescent="0.2">
      <c r="B152" s="4">
        <v>35580</v>
      </c>
      <c r="C152" s="8">
        <f>1751.34*(1/291.613*100)</f>
        <v>600.56993343918134</v>
      </c>
      <c r="D152" s="8">
        <f t="shared" si="4"/>
        <v>205.0577289265747</v>
      </c>
      <c r="E152" s="6">
        <f t="shared" si="5"/>
        <v>6.1541063238229388E-2</v>
      </c>
      <c r="F152" s="7">
        <f>(1+E152)/(1+'inflation-monthly'!D152)-1</f>
        <v>5.5130857420032431E-2</v>
      </c>
    </row>
    <row r="153" spans="2:6" x14ac:dyDescent="0.2">
      <c r="B153" s="4">
        <v>35611</v>
      </c>
      <c r="C153" s="8">
        <f>1838.388*(1/291.613*100)</f>
        <v>630.42045450648629</v>
      </c>
      <c r="D153" s="8">
        <f t="shared" si="4"/>
        <v>215.81783470292595</v>
      </c>
      <c r="E153" s="6">
        <f t="shared" si="5"/>
        <v>4.9703655486655896E-2</v>
      </c>
      <c r="F153" s="7">
        <f>(1+E153)/(1+'inflation-monthly'!D153)-1</f>
        <v>5.2473544073065037E-2</v>
      </c>
    </row>
    <row r="154" spans="2:6" x14ac:dyDescent="0.2">
      <c r="B154" s="4">
        <v>35642</v>
      </c>
      <c r="C154" s="8">
        <f>1922.758*(1/291.613*100)</f>
        <v>659.3526351705857</v>
      </c>
      <c r="D154" s="8">
        <f t="shared" si="4"/>
        <v>225.65960374890207</v>
      </c>
      <c r="E154" s="6">
        <f t="shared" si="5"/>
        <v>4.5893467537864829E-2</v>
      </c>
      <c r="F154" s="7">
        <f>(1+E154)/(1+'inflation-monthly'!D154)-1</f>
        <v>4.5602204560727611E-2</v>
      </c>
    </row>
    <row r="155" spans="2:6" x14ac:dyDescent="0.2">
      <c r="B155" s="4">
        <v>35671</v>
      </c>
      <c r="C155" s="8">
        <f>1793.832*(1/291.613*100)</f>
        <v>615.14130028496675</v>
      </c>
      <c r="D155" s="8">
        <f t="shared" si="4"/>
        <v>209.52438188212676</v>
      </c>
      <c r="E155" s="6">
        <f t="shared" si="5"/>
        <v>-6.7052640009819253E-2</v>
      </c>
      <c r="F155" s="7">
        <f>(1+E155)/(1+'inflation-monthly'!D155)-1</f>
        <v>-7.1502482494516073E-2</v>
      </c>
    </row>
    <row r="156" spans="2:6" x14ac:dyDescent="0.2">
      <c r="B156" s="4">
        <v>35703</v>
      </c>
      <c r="C156" s="8">
        <f>1890.983*(1/291.613*100)</f>
        <v>648.45634453882371</v>
      </c>
      <c r="D156" s="8">
        <f t="shared" si="4"/>
        <v>221.01048584666231</v>
      </c>
      <c r="E156" s="6">
        <f t="shared" si="5"/>
        <v>5.4158360426171503E-2</v>
      </c>
      <c r="F156" s="7">
        <f>(1+E156)/(1+'inflation-monthly'!D156)-1</f>
        <v>5.4819891896864537E-2</v>
      </c>
    </row>
    <row r="157" spans="2:6" x14ac:dyDescent="0.2">
      <c r="B157" s="4">
        <v>35734</v>
      </c>
      <c r="C157" s="8">
        <f>1791.153*(1/291.613*100)</f>
        <v>614.22261696152088</v>
      </c>
      <c r="D157" s="8">
        <f t="shared" si="4"/>
        <v>209.45589196841351</v>
      </c>
      <c r="E157" s="6">
        <f t="shared" si="5"/>
        <v>-5.2792648056592895E-2</v>
      </c>
      <c r="F157" s="7">
        <f>(1+E157)/(1+'inflation-monthly'!D157)-1</f>
        <v>-5.2280749639478263E-2</v>
      </c>
    </row>
    <row r="158" spans="2:6" x14ac:dyDescent="0.2">
      <c r="B158" s="4">
        <v>35762</v>
      </c>
      <c r="C158" s="8">
        <f>1822.544*(1/291.613*100)</f>
        <v>624.98722622105322</v>
      </c>
      <c r="D158" s="8">
        <f t="shared" si="4"/>
        <v>212.28353834655331</v>
      </c>
      <c r="E158" s="6">
        <f t="shared" si="5"/>
        <v>1.7525582683333152E-2</v>
      </c>
      <c r="F158" s="7">
        <f>(1+E158)/(1+'inflation-monthly'!D158)-1</f>
        <v>1.349996102552331E-2</v>
      </c>
    </row>
    <row r="159" spans="2:6" x14ac:dyDescent="0.2">
      <c r="B159" s="4">
        <v>35795</v>
      </c>
      <c r="C159" s="8">
        <f>1844.451*(1/291.613*100)</f>
        <v>632.49957992270572</v>
      </c>
      <c r="D159" s="8">
        <f t="shared" si="4"/>
        <v>214.33012718372078</v>
      </c>
      <c r="E159" s="6">
        <f t="shared" si="5"/>
        <v>1.2020011588197654E-2</v>
      </c>
      <c r="F159" s="7">
        <f>(1+E159)/(1+'inflation-monthly'!D159)-1</f>
        <v>9.6408268540653097E-3</v>
      </c>
    </row>
    <row r="160" spans="2:6" x14ac:dyDescent="0.2">
      <c r="B160" s="4">
        <v>35825</v>
      </c>
      <c r="C160" s="8">
        <f>1895.546*(1/291.613*100)</f>
        <v>650.02108959477118</v>
      </c>
      <c r="D160" s="8">
        <f t="shared" si="4"/>
        <v>219.97065433204648</v>
      </c>
      <c r="E160" s="6">
        <f t="shared" si="5"/>
        <v>2.7702009974784003E-2</v>
      </c>
      <c r="F160" s="7">
        <f>(1+E160)/(1+'inflation-monthly'!D160)-1</f>
        <v>2.6317005557929374E-2</v>
      </c>
    </row>
    <row r="161" spans="2:6" x14ac:dyDescent="0.2">
      <c r="B161" s="4">
        <v>35853</v>
      </c>
      <c r="C161" s="8">
        <f>2023.462*(1/291.613*100)</f>
        <v>693.8860750378069</v>
      </c>
      <c r="D161" s="8">
        <f t="shared" si="4"/>
        <v>234.92033457390079</v>
      </c>
      <c r="E161" s="6">
        <f t="shared" si="5"/>
        <v>6.7482403486910814E-2</v>
      </c>
      <c r="F161" s="7">
        <f>(1+E161)/(1+'inflation-monthly'!D161)-1</f>
        <v>6.7962157439817927E-2</v>
      </c>
    </row>
    <row r="162" spans="2:6" x14ac:dyDescent="0.2">
      <c r="B162" s="4">
        <v>35885</v>
      </c>
      <c r="C162" s="8">
        <f>2108.595*(1/291.613*100)</f>
        <v>723.07990384516461</v>
      </c>
      <c r="D162" s="8">
        <f t="shared" si="4"/>
        <v>244.14577205259332</v>
      </c>
      <c r="E162" s="6">
        <f t="shared" si="5"/>
        <v>4.2072942313717832E-2</v>
      </c>
      <c r="F162" s="7">
        <f>(1+E162)/(1+'inflation-monthly'!D162)-1</f>
        <v>3.9270493528904771E-2</v>
      </c>
    </row>
    <row r="163" spans="2:6" x14ac:dyDescent="0.2">
      <c r="B163" s="4">
        <v>35915</v>
      </c>
      <c r="C163" s="8">
        <f>2128.884*(1/291.613*100)</f>
        <v>730.03741259820379</v>
      </c>
      <c r="D163" s="8">
        <f t="shared" si="4"/>
        <v>244.74680003188124</v>
      </c>
      <c r="E163" s="6">
        <f t="shared" si="5"/>
        <v>9.6220469080123827E-3</v>
      </c>
      <c r="F163" s="7">
        <f>(1+E163)/(1+'inflation-monthly'!D163)-1</f>
        <v>2.4617587035602462E-3</v>
      </c>
    </row>
    <row r="164" spans="2:6" x14ac:dyDescent="0.2">
      <c r="B164" s="4">
        <v>35944</v>
      </c>
      <c r="C164" s="8">
        <f>2101.886*(1/291.613*100)</f>
        <v>720.77925195378805</v>
      </c>
      <c r="D164" s="8">
        <f t="shared" si="4"/>
        <v>240.14666788518321</v>
      </c>
      <c r="E164" s="6">
        <f t="shared" si="5"/>
        <v>-1.268176189966197E-2</v>
      </c>
      <c r="F164" s="7">
        <f>(1+E164)/(1+'inflation-monthly'!D164)-1</f>
        <v>-1.879547412304805E-2</v>
      </c>
    </row>
    <row r="165" spans="2:6" x14ac:dyDescent="0.2">
      <c r="B165" s="4">
        <v>35976</v>
      </c>
      <c r="C165" s="8">
        <f>2151.45*(1/291.613*100)</f>
        <v>737.77575073813568</v>
      </c>
      <c r="D165" s="8">
        <f t="shared" si="4"/>
        <v>245.4942557463649</v>
      </c>
      <c r="E165" s="6">
        <f t="shared" si="5"/>
        <v>2.35807270232542E-2</v>
      </c>
      <c r="F165" s="7">
        <f>(1+E165)/(1+'inflation-monthly'!D165)-1</f>
        <v>2.226800774824178E-2</v>
      </c>
    </row>
    <row r="166" spans="2:6" x14ac:dyDescent="0.2">
      <c r="B166" s="4">
        <v>36007</v>
      </c>
      <c r="C166" s="8">
        <f>2147.679*(1/291.613*100)</f>
        <v>736.48259851241198</v>
      </c>
      <c r="D166" s="8">
        <f t="shared" si="4"/>
        <v>244.55521580530967</v>
      </c>
      <c r="E166" s="6">
        <f t="shared" si="5"/>
        <v>-1.752771386739016E-3</v>
      </c>
      <c r="F166" s="7">
        <f>(1+E166)/(1+'inflation-monthly'!D166)-1</f>
        <v>-3.8250994435706787E-3</v>
      </c>
    </row>
    <row r="167" spans="2:6" x14ac:dyDescent="0.2">
      <c r="B167" s="4">
        <v>36038</v>
      </c>
      <c r="C167" s="8">
        <f>1860.958*(1/291.613*100)</f>
        <v>638.16016432737911</v>
      </c>
      <c r="D167" s="8">
        <f t="shared" si="4"/>
        <v>211.87028206006443</v>
      </c>
      <c r="E167" s="6">
        <f t="shared" si="5"/>
        <v>-0.13350272550041231</v>
      </c>
      <c r="F167" s="7">
        <f>(1+E167)/(1+'inflation-monthly'!D167)-1</f>
        <v>-0.13365052811331457</v>
      </c>
    </row>
    <row r="168" spans="2:6" x14ac:dyDescent="0.2">
      <c r="B168" s="4">
        <v>36068</v>
      </c>
      <c r="C168" s="8">
        <f>1893.551*(1/291.613*100)</f>
        <v>649.33696371560939</v>
      </c>
      <c r="D168" s="8">
        <f t="shared" si="4"/>
        <v>215.83874626915829</v>
      </c>
      <c r="E168" s="6">
        <f t="shared" si="5"/>
        <v>1.7514097577699284E-2</v>
      </c>
      <c r="F168" s="7">
        <f>(1+E168)/(1+'inflation-monthly'!D168)-1</f>
        <v>1.873063164171751E-2</v>
      </c>
    </row>
    <row r="169" spans="2:6" x14ac:dyDescent="0.2">
      <c r="B169" s="4">
        <v>36098</v>
      </c>
      <c r="C169" s="8">
        <f>2064.403*(1/291.613*100)</f>
        <v>707.92557259107093</v>
      </c>
      <c r="D169" s="8">
        <f t="shared" si="4"/>
        <v>234.47579509332155</v>
      </c>
      <c r="E169" s="6">
        <f t="shared" si="5"/>
        <v>9.0228359310100315E-2</v>
      </c>
      <c r="F169" s="7">
        <f>(1+E169)/(1+'inflation-monthly'!D169)-1</f>
        <v>8.6347095441901001E-2</v>
      </c>
    </row>
    <row r="170" spans="2:6" x14ac:dyDescent="0.2">
      <c r="B170" s="4">
        <v>36129</v>
      </c>
      <c r="C170" s="8">
        <f>2186.848*(1/291.613*100)</f>
        <v>749.91444140007468</v>
      </c>
      <c r="D170" s="8">
        <f t="shared" si="4"/>
        <v>247.16667201664458</v>
      </c>
      <c r="E170" s="6">
        <f t="shared" si="5"/>
        <v>5.9312547017224881E-2</v>
      </c>
      <c r="F170" s="7">
        <f>(1+E170)/(1+'inflation-monthly'!D170)-1</f>
        <v>5.412446482278499E-2</v>
      </c>
    </row>
    <row r="171" spans="2:6" x14ac:dyDescent="0.2">
      <c r="B171" s="4">
        <v>36160</v>
      </c>
      <c r="C171" s="8">
        <f>2293.354*(1/291.613*100)</f>
        <v>786.43750450082803</v>
      </c>
      <c r="D171" s="8">
        <f t="shared" si="4"/>
        <v>258.29301874572673</v>
      </c>
      <c r="E171" s="6">
        <f t="shared" si="5"/>
        <v>4.8702973411960837E-2</v>
      </c>
      <c r="F171" s="7">
        <f>(1+E171)/(1+'inflation-monthly'!D171)-1</f>
        <v>4.5015562326027769E-2</v>
      </c>
    </row>
    <row r="172" spans="2:6" x14ac:dyDescent="0.2">
      <c r="B172" s="4">
        <v>36189</v>
      </c>
      <c r="C172" s="8">
        <f>2343.238*(1/291.613*100)</f>
        <v>803.54373776203386</v>
      </c>
      <c r="D172" s="8">
        <f t="shared" si="4"/>
        <v>264.78273790877967</v>
      </c>
      <c r="E172" s="6">
        <f t="shared" si="5"/>
        <v>2.1751548169188117E-2</v>
      </c>
      <c r="F172" s="7">
        <f>(1+E172)/(1+'inflation-monthly'!D172)-1</f>
        <v>2.5125414517848998E-2</v>
      </c>
    </row>
    <row r="173" spans="2:6" x14ac:dyDescent="0.2">
      <c r="B173" s="4">
        <v>36217</v>
      </c>
      <c r="C173" s="8">
        <f>2280.572*(1/291.613*100)</f>
        <v>782.05429799083038</v>
      </c>
      <c r="D173" s="8">
        <f t="shared" si="4"/>
        <v>257.61791508826809</v>
      </c>
      <c r="E173" s="6">
        <f t="shared" si="5"/>
        <v>-2.6743335504118448E-2</v>
      </c>
      <c r="F173" s="7">
        <f>(1+E173)/(1+'inflation-monthly'!D173)-1</f>
        <v>-2.7059251962943009E-2</v>
      </c>
    </row>
    <row r="174" spans="2:6" x14ac:dyDescent="0.2">
      <c r="B174" s="4">
        <v>36250</v>
      </c>
      <c r="C174" s="8">
        <f>2375.193*(1/291.613*100)</f>
        <v>814.5017540370286</v>
      </c>
      <c r="D174" s="8">
        <f t="shared" si="4"/>
        <v>267.1646142916473</v>
      </c>
      <c r="E174" s="6">
        <f t="shared" si="5"/>
        <v>4.149002969430482E-2</v>
      </c>
      <c r="F174" s="7">
        <f>(1+E174)/(1+'inflation-monthly'!D174)-1</f>
        <v>3.7057590502229676E-2</v>
      </c>
    </row>
    <row r="175" spans="2:6" x14ac:dyDescent="0.2">
      <c r="B175" s="4">
        <v>36280</v>
      </c>
      <c r="C175" s="8">
        <f>2468.493*(1/291.613*100)</f>
        <v>846.49621244594709</v>
      </c>
      <c r="D175" s="8">
        <f t="shared" si="4"/>
        <v>275.90350597340444</v>
      </c>
      <c r="E175" s="6">
        <f t="shared" si="5"/>
        <v>3.9281018426712944E-2</v>
      </c>
      <c r="F175" s="7">
        <f>(1+E175)/(1+'inflation-monthly'!D175)-1</f>
        <v>3.2709764745332048E-2</v>
      </c>
    </row>
    <row r="176" spans="2:6" x14ac:dyDescent="0.2">
      <c r="B176" s="4">
        <v>36311</v>
      </c>
      <c r="C176" s="8">
        <f>2377.959*(1/291.613*100)</f>
        <v>815.45027142136996</v>
      </c>
      <c r="D176" s="8">
        <f t="shared" si="4"/>
        <v>265.46957312360939</v>
      </c>
      <c r="E176" s="6">
        <f t="shared" si="5"/>
        <v>-3.6675817999078819E-2</v>
      </c>
      <c r="F176" s="7">
        <f>(1+E176)/(1+'inflation-monthly'!D176)-1</f>
        <v>-3.7817326071966639E-2</v>
      </c>
    </row>
    <row r="177" spans="2:6" x14ac:dyDescent="0.2">
      <c r="B177" s="4">
        <v>36341</v>
      </c>
      <c r="C177" s="8">
        <f>2488.537*(1/291.613*100)</f>
        <v>853.36970574014185</v>
      </c>
      <c r="D177" s="8">
        <f t="shared" si="4"/>
        <v>277.388858073081</v>
      </c>
      <c r="E177" s="6">
        <f t="shared" si="5"/>
        <v>4.6501222266658315E-2</v>
      </c>
      <c r="F177" s="7">
        <f>(1+E177)/(1+'inflation-monthly'!D177)-1</f>
        <v>4.4898874131694466E-2</v>
      </c>
    </row>
    <row r="178" spans="2:6" x14ac:dyDescent="0.2">
      <c r="B178" s="4">
        <v>36371</v>
      </c>
      <c r="C178" s="8">
        <f>2480.736*(1/291.613*100)</f>
        <v>850.69458494648723</v>
      </c>
      <c r="D178" s="8">
        <f t="shared" si="4"/>
        <v>276.58093225392093</v>
      </c>
      <c r="E178" s="6">
        <f t="shared" si="5"/>
        <v>-3.1347735637444751E-3</v>
      </c>
      <c r="F178" s="7">
        <f>(1+E178)/(1+'inflation-monthly'!D178)-1</f>
        <v>-2.9126109273905909E-3</v>
      </c>
    </row>
    <row r="179" spans="2:6" x14ac:dyDescent="0.2">
      <c r="B179" s="4">
        <v>36403</v>
      </c>
      <c r="C179" s="8">
        <f>2475.989*(1/291.613*100)</f>
        <v>849.06674256634642</v>
      </c>
      <c r="D179" s="8">
        <f t="shared" si="4"/>
        <v>276.4827711936648</v>
      </c>
      <c r="E179" s="6">
        <f t="shared" si="5"/>
        <v>-1.9135450124478925E-3</v>
      </c>
      <c r="F179" s="7">
        <f>(1+E179)/(1+'inflation-monthly'!D179)-1</f>
        <v>-3.5490899338652682E-4</v>
      </c>
    </row>
    <row r="180" spans="2:6" x14ac:dyDescent="0.2">
      <c r="B180" s="4">
        <v>36433</v>
      </c>
      <c r="C180" s="8">
        <f>2451.644*(1/291.613*100)</f>
        <v>840.71834931913179</v>
      </c>
      <c r="D180" s="8">
        <f t="shared" si="4"/>
        <v>273.82539278731377</v>
      </c>
      <c r="E180" s="6">
        <f t="shared" si="5"/>
        <v>-9.8324346352104408E-3</v>
      </c>
      <c r="F180" s="7">
        <f>(1+E180)/(1+'inflation-monthly'!D180)-1</f>
        <v>-9.6113707008878002E-3</v>
      </c>
    </row>
    <row r="181" spans="2:6" x14ac:dyDescent="0.2">
      <c r="B181" s="4">
        <v>36462</v>
      </c>
      <c r="C181" s="8">
        <f>2578.744*(1/291.613*100)</f>
        <v>884.30351184617973</v>
      </c>
      <c r="D181" s="8">
        <f t="shared" si="4"/>
        <v>287.23200665218286</v>
      </c>
      <c r="E181" s="6">
        <f t="shared" si="5"/>
        <v>5.1842763468105568E-2</v>
      </c>
      <c r="F181" s="7">
        <f>(1+E181)/(1+'inflation-monthly'!D181)-1</f>
        <v>4.8960447854747624E-2</v>
      </c>
    </row>
    <row r="182" spans="2:6" x14ac:dyDescent="0.2">
      <c r="B182" s="4">
        <v>36494</v>
      </c>
      <c r="C182" s="8">
        <f>2650.956*(1/291.613*100)</f>
        <v>909.06646823015433</v>
      </c>
      <c r="D182" s="8">
        <f t="shared" si="4"/>
        <v>293.56441807800536</v>
      </c>
      <c r="E182" s="6">
        <f t="shared" si="5"/>
        <v>2.8002779647766429E-2</v>
      </c>
      <c r="F182" s="7">
        <f>(1+E182)/(1+'inflation-monthly'!D182)-1</f>
        <v>2.2046329375439599E-2</v>
      </c>
    </row>
    <row r="183" spans="2:6" x14ac:dyDescent="0.2">
      <c r="B183" s="4">
        <v>36525</v>
      </c>
      <c r="C183" s="8">
        <f>2865.199*(1/291.613*100)</f>
        <v>982.53472924732432</v>
      </c>
      <c r="D183" s="8">
        <f t="shared" si="4"/>
        <v>316.50167838624304</v>
      </c>
      <c r="E183" s="6">
        <f t="shared" si="5"/>
        <v>8.0817259886621917E-2</v>
      </c>
      <c r="F183" s="7">
        <f>(1+E183)/(1+'inflation-monthly'!D183)-1</f>
        <v>7.81336527717158E-2</v>
      </c>
    </row>
    <row r="184" spans="2:6" x14ac:dyDescent="0.2">
      <c r="B184" s="4">
        <v>36556</v>
      </c>
      <c r="C184" s="8">
        <f>2700.79*(1/291.613*100)</f>
        <v>926.15555547935105</v>
      </c>
      <c r="D184" s="8">
        <f t="shared" si="4"/>
        <v>298.9259354544414</v>
      </c>
      <c r="E184" s="6">
        <f t="shared" si="5"/>
        <v>-5.7381354663323503E-2</v>
      </c>
      <c r="F184" s="7">
        <f>(1+E184)/(1+'inflation-monthly'!D184)-1</f>
        <v>-5.5531278764193615E-2</v>
      </c>
    </row>
    <row r="185" spans="2:6" x14ac:dyDescent="0.2">
      <c r="B185" s="4">
        <v>36585</v>
      </c>
      <c r="C185" s="8">
        <f>2707.75*(1/291.613*100)</f>
        <v>928.54228035101312</v>
      </c>
      <c r="D185" s="8">
        <f t="shared" si="4"/>
        <v>300.3812831155995</v>
      </c>
      <c r="E185" s="6">
        <f t="shared" si="5"/>
        <v>2.5770237597146917E-3</v>
      </c>
      <c r="F185" s="7">
        <f>(1+E185)/(1+'inflation-monthly'!D185)-1</f>
        <v>4.868589468309592E-3</v>
      </c>
    </row>
    <row r="186" spans="2:6" x14ac:dyDescent="0.2">
      <c r="B186" s="4">
        <v>36616</v>
      </c>
      <c r="C186" s="8">
        <f>2894.57*(1/291.613*100)</f>
        <v>992.60663962169042</v>
      </c>
      <c r="D186" s="8">
        <f t="shared" si="4"/>
        <v>320.62180068926477</v>
      </c>
      <c r="E186" s="6">
        <f t="shared" si="5"/>
        <v>6.8994552672883458E-2</v>
      </c>
      <c r="F186" s="7">
        <f>(1+E186)/(1+'inflation-monthly'!D186)-1</f>
        <v>6.7382752226528897E-2</v>
      </c>
    </row>
    <row r="187" spans="2:6" x14ac:dyDescent="0.2">
      <c r="B187" s="4">
        <v>36644</v>
      </c>
      <c r="C187" s="8">
        <f>2771.849*(1/291.613*100)</f>
        <v>950.52312482639661</v>
      </c>
      <c r="D187" s="8">
        <f t="shared" si="4"/>
        <v>303.48956879844246</v>
      </c>
      <c r="E187" s="6">
        <f t="shared" si="5"/>
        <v>-4.2396970879958085E-2</v>
      </c>
      <c r="F187" s="7">
        <f>(1+E187)/(1+'inflation-monthly'!D187)-1</f>
        <v>-5.3434394835260357E-2</v>
      </c>
    </row>
    <row r="188" spans="2:6" x14ac:dyDescent="0.2">
      <c r="B188" s="4">
        <v>36677</v>
      </c>
      <c r="C188" s="8">
        <f>2701.344*(1/291.613*100)</f>
        <v>926.34553329241146</v>
      </c>
      <c r="D188" s="8">
        <f t="shared" si="4"/>
        <v>294.11317801691189</v>
      </c>
      <c r="E188" s="6">
        <f t="shared" si="5"/>
        <v>-2.5436089772567061E-2</v>
      </c>
      <c r="F188" s="7">
        <f>(1+E188)/(1+'inflation-monthly'!D188)-1</f>
        <v>-3.0895265424287888E-2</v>
      </c>
    </row>
    <row r="189" spans="2:6" x14ac:dyDescent="0.2">
      <c r="B189" s="4">
        <v>36707</v>
      </c>
      <c r="C189" s="8">
        <f>2791.969*(1/291.613*100)</f>
        <v>957.42268005884512</v>
      </c>
      <c r="D189" s="8">
        <f t="shared" si="4"/>
        <v>302.46675727714103</v>
      </c>
      <c r="E189" s="6">
        <f t="shared" si="5"/>
        <v>3.354811530852797E-2</v>
      </c>
      <c r="F189" s="7">
        <f>(1+E189)/(1+'inflation-monthly'!D189)-1</f>
        <v>2.8402601054988486E-2</v>
      </c>
    </row>
    <row r="190" spans="2:6" x14ac:dyDescent="0.2">
      <c r="B190" s="4">
        <v>36738</v>
      </c>
      <c r="C190" s="8">
        <f>2713.038*(1/291.613*100)</f>
        <v>930.35564258109207</v>
      </c>
      <c r="D190" s="8">
        <f t="shared" si="4"/>
        <v>292.95278430141241</v>
      </c>
      <c r="E190" s="6">
        <f t="shared" si="5"/>
        <v>-2.8270729366980829E-2</v>
      </c>
      <c r="F190" s="7">
        <f>(1+E190)/(1+'inflation-monthly'!D190)-1</f>
        <v>-3.1454606983508104E-2</v>
      </c>
    </row>
    <row r="191" spans="2:6" x14ac:dyDescent="0.2">
      <c r="B191" s="4">
        <v>36769</v>
      </c>
      <c r="C191" s="8">
        <f>2800.953*(1/291.613*100)</f>
        <v>960.50347549663422</v>
      </c>
      <c r="D191" s="8">
        <f t="shared" si="4"/>
        <v>302.32755018970022</v>
      </c>
      <c r="E191" s="6">
        <f t="shared" si="5"/>
        <v>3.2404632740123729E-2</v>
      </c>
      <c r="F191" s="7">
        <f>(1+E191)/(1+'inflation-monthly'!D191)-1</f>
        <v>3.2000944830216538E-2</v>
      </c>
    </row>
    <row r="192" spans="2:6" x14ac:dyDescent="0.2">
      <c r="B192" s="4">
        <v>36798</v>
      </c>
      <c r="C192" s="8">
        <f>2651.69*(1/291.613*100)</f>
        <v>909.31817168644739</v>
      </c>
      <c r="D192" s="8">
        <f t="shared" si="4"/>
        <v>286.47521285862808</v>
      </c>
      <c r="E192" s="6">
        <f t="shared" si="5"/>
        <v>-5.3290076627490746E-2</v>
      </c>
      <c r="F192" s="7">
        <f>(1+E192)/(1+'inflation-monthly'!D192)-1</f>
        <v>-5.2434312787985604E-2</v>
      </c>
    </row>
    <row r="193" spans="2:6" x14ac:dyDescent="0.2">
      <c r="B193" s="4">
        <v>36830</v>
      </c>
      <c r="C193" s="8">
        <f>2606.936*(1/291.613*100)</f>
        <v>893.97111925737192</v>
      </c>
      <c r="D193" s="8">
        <f t="shared" si="4"/>
        <v>280.49737246316761</v>
      </c>
      <c r="E193" s="6">
        <f t="shared" si="5"/>
        <v>-1.6877538475462806E-2</v>
      </c>
      <c r="F193" s="7">
        <f>(1+E193)/(1+'inflation-monthly'!D193)-1</f>
        <v>-2.0866867802662004E-2</v>
      </c>
    </row>
    <row r="194" spans="2:6" x14ac:dyDescent="0.2">
      <c r="B194" s="4">
        <v>36860</v>
      </c>
      <c r="C194" s="8">
        <f>2448.334*(1/291.613*100)</f>
        <v>839.58328332413157</v>
      </c>
      <c r="D194" s="8">
        <f t="shared" si="4"/>
        <v>261.36739380122793</v>
      </c>
      <c r="E194" s="6">
        <f t="shared" si="5"/>
        <v>-6.0838470909911124E-2</v>
      </c>
      <c r="F194" s="7">
        <f>(1+E194)/(1+'inflation-monthly'!D194)-1</f>
        <v>-6.8200206276269659E-2</v>
      </c>
    </row>
    <row r="195" spans="2:6" x14ac:dyDescent="0.2">
      <c r="B195" s="4">
        <v>36889</v>
      </c>
      <c r="C195" s="8">
        <f>2487.613*(1/291.613*100)</f>
        <v>853.05284743821426</v>
      </c>
      <c r="D195" s="8">
        <f t="shared" si="4"/>
        <v>264.57648930099629</v>
      </c>
      <c r="E195" s="6">
        <f t="shared" si="5"/>
        <v>1.6043154242844304E-2</v>
      </c>
      <c r="F195" s="7">
        <f>(1+E195)/(1+'inflation-monthly'!D195)-1</f>
        <v>1.2278101920428997E-2</v>
      </c>
    </row>
    <row r="196" spans="2:6" x14ac:dyDescent="0.2">
      <c r="B196" s="4">
        <v>36922</v>
      </c>
      <c r="C196" s="8">
        <f>2535.516*(1/291.613*100)</f>
        <v>869.47975570362087</v>
      </c>
      <c r="D196" s="8">
        <f t="shared" ref="D196:D259" si="6">D195*(1+F196)</f>
        <v>268.68287585891721</v>
      </c>
      <c r="E196" s="6">
        <f t="shared" si="5"/>
        <v>1.9256612664429795E-2</v>
      </c>
      <c r="F196" s="7">
        <f>(1+E196)/(1+'inflation-monthly'!D196)-1</f>
        <v>1.5520602638465331E-2</v>
      </c>
    </row>
    <row r="197" spans="2:6" x14ac:dyDescent="0.2">
      <c r="B197" s="4">
        <v>36950</v>
      </c>
      <c r="C197" s="8">
        <f>2320.954*(1/291.613*100)</f>
        <v>795.90210312983311</v>
      </c>
      <c r="D197" s="8">
        <f t="shared" si="6"/>
        <v>245.64389851021659</v>
      </c>
      <c r="E197" s="6">
        <f t="shared" ref="E197:E260" si="7">C197/C196-1</f>
        <v>-8.4622617250295296E-2</v>
      </c>
      <c r="F197" s="7">
        <f>(1+E197)/(1+'inflation-monthly'!D197)-1</f>
        <v>-8.5747844089617997E-2</v>
      </c>
    </row>
    <row r="198" spans="2:6" x14ac:dyDescent="0.2">
      <c r="B198" s="4">
        <v>36980</v>
      </c>
      <c r="C198" s="8">
        <f>2168.117*(1/291.613*100)</f>
        <v>743.49120238123817</v>
      </c>
      <c r="D198" s="8">
        <f t="shared" si="6"/>
        <v>228.46553353411147</v>
      </c>
      <c r="E198" s="6">
        <f t="shared" si="7"/>
        <v>-6.5850938881166998E-2</v>
      </c>
      <c r="F198" s="7">
        <f>(1+E198)/(1+'inflation-monthly'!D198)-1</f>
        <v>-6.993198316867888E-2</v>
      </c>
    </row>
    <row r="199" spans="2:6" x14ac:dyDescent="0.2">
      <c r="B199" s="4">
        <v>37011</v>
      </c>
      <c r="C199" s="8">
        <f>2327.938*(1/291.613*100)</f>
        <v>798.29705808725953</v>
      </c>
      <c r="D199" s="8">
        <f t="shared" si="6"/>
        <v>243.92964660927416</v>
      </c>
      <c r="E199" s="6">
        <f t="shared" si="7"/>
        <v>7.3714195313260289E-2</v>
      </c>
      <c r="F199" s="7">
        <f>(1+E199)/(1+'inflation-monthly'!D199)-1</f>
        <v>6.76868533995032E-2</v>
      </c>
    </row>
    <row r="200" spans="2:6" x14ac:dyDescent="0.2">
      <c r="B200" s="4">
        <v>37042</v>
      </c>
      <c r="C200" s="8">
        <f>2297.603*(1/291.613*100)</f>
        <v>787.89457260135862</v>
      </c>
      <c r="D200" s="8">
        <f t="shared" si="6"/>
        <v>238.75474184543222</v>
      </c>
      <c r="E200" s="6">
        <f t="shared" si="7"/>
        <v>-1.3030845323200313E-2</v>
      </c>
      <c r="F200" s="7">
        <f>(1+E200)/(1+'inflation-monthly'!D200)-1</f>
        <v>-2.1214743003875602E-2</v>
      </c>
    </row>
    <row r="201" spans="2:6" x14ac:dyDescent="0.2">
      <c r="B201" s="4">
        <v>37071</v>
      </c>
      <c r="C201" s="8">
        <f>2225.293*(1/291.613*100)</f>
        <v>763.09801003384621</v>
      </c>
      <c r="D201" s="8">
        <f t="shared" si="6"/>
        <v>230.63907490006287</v>
      </c>
      <c r="E201" s="6">
        <f t="shared" si="7"/>
        <v>-3.1471929658866249E-2</v>
      </c>
      <c r="F201" s="7">
        <f>(1+E201)/(1+'inflation-monthly'!D201)-1</f>
        <v>-3.3991647171654371E-2</v>
      </c>
    </row>
    <row r="202" spans="2:6" x14ac:dyDescent="0.2">
      <c r="B202" s="4">
        <v>37103</v>
      </c>
      <c r="C202" s="8">
        <f>2195.549*(1/291.613*100)</f>
        <v>752.89819040989255</v>
      </c>
      <c r="D202" s="8">
        <f t="shared" si="6"/>
        <v>227.30036515353299</v>
      </c>
      <c r="E202" s="6">
        <f t="shared" si="7"/>
        <v>-1.3366329737252602E-2</v>
      </c>
      <c r="F202" s="7">
        <f>(1+E202)/(1+'inflation-monthly'!D202)-1</f>
        <v>-1.4475906773284364E-2</v>
      </c>
    </row>
    <row r="203" spans="2:6" x14ac:dyDescent="0.2">
      <c r="B203" s="4">
        <v>37134</v>
      </c>
      <c r="C203" s="8">
        <f>2089.841*(1/291.613*100)</f>
        <v>716.64877766080383</v>
      </c>
      <c r="D203" s="8">
        <f t="shared" si="6"/>
        <v>216.77421332396418</v>
      </c>
      <c r="E203" s="6">
        <f t="shared" si="7"/>
        <v>-4.8146500032565931E-2</v>
      </c>
      <c r="F203" s="7">
        <f>(1+E203)/(1+'inflation-monthly'!D203)-1</f>
        <v>-4.6309436513482072E-2</v>
      </c>
    </row>
    <row r="204" spans="2:6" x14ac:dyDescent="0.2">
      <c r="B204" s="4">
        <v>37162</v>
      </c>
      <c r="C204" s="8">
        <f>1905.414*(1/291.613*100)</f>
        <v>653.40502652488055</v>
      </c>
      <c r="D204" s="8">
        <f t="shared" si="6"/>
        <v>197.71318852677655</v>
      </c>
      <c r="E204" s="6">
        <f t="shared" si="7"/>
        <v>-8.8249297434589535E-2</v>
      </c>
      <c r="F204" s="7">
        <f>(1+E204)/(1+'inflation-monthly'!D204)-1</f>
        <v>-8.7930314703536072E-2</v>
      </c>
    </row>
    <row r="205" spans="2:6" x14ac:dyDescent="0.2">
      <c r="B205" s="4">
        <v>37195</v>
      </c>
      <c r="C205" s="8">
        <f>1941.798*(1/291.613*100)</f>
        <v>665.88183654363831</v>
      </c>
      <c r="D205" s="8">
        <f t="shared" si="6"/>
        <v>200.71091157450732</v>
      </c>
      <c r="E205" s="6">
        <f t="shared" si="7"/>
        <v>1.9095062805248642E-2</v>
      </c>
      <c r="F205" s="7">
        <f>(1+E205)/(1+'inflation-monthly'!D205)-1</f>
        <v>1.5161978166796874E-2</v>
      </c>
    </row>
    <row r="206" spans="2:6" x14ac:dyDescent="0.2">
      <c r="B206" s="4">
        <v>37225</v>
      </c>
      <c r="C206" s="8">
        <f>2056.38*(1/291.613*100)</f>
        <v>705.17432350409615</v>
      </c>
      <c r="D206" s="8">
        <f t="shared" si="6"/>
        <v>211.15085923271209</v>
      </c>
      <c r="E206" s="6">
        <f t="shared" si="7"/>
        <v>5.9008197557109288E-2</v>
      </c>
      <c r="F206" s="7">
        <f>(1+E206)/(1+'inflation-monthly'!D206)-1</f>
        <v>5.2014848501793054E-2</v>
      </c>
    </row>
    <row r="207" spans="2:6" x14ac:dyDescent="0.2">
      <c r="B207" s="4">
        <v>37256</v>
      </c>
      <c r="C207" s="8">
        <f>2069.099*(1/291.613*100)</f>
        <v>709.53592603896266</v>
      </c>
      <c r="D207" s="8">
        <f t="shared" si="6"/>
        <v>212.04087746504527</v>
      </c>
      <c r="E207" s="6">
        <f t="shared" si="7"/>
        <v>6.1851408786315343E-3</v>
      </c>
      <c r="F207" s="7">
        <f>(1+E207)/(1+'inflation-monthly'!D207)-1</f>
        <v>4.2150822192594806E-3</v>
      </c>
    </row>
    <row r="208" spans="2:6" x14ac:dyDescent="0.2">
      <c r="B208" s="4">
        <v>37287</v>
      </c>
      <c r="C208" s="8">
        <f>2006.204*(1/291.613*100)</f>
        <v>687.9679575327574</v>
      </c>
      <c r="D208" s="8">
        <f t="shared" si="6"/>
        <v>205.26704603274032</v>
      </c>
      <c r="E208" s="6">
        <f t="shared" si="7"/>
        <v>-3.0397288868246664E-2</v>
      </c>
      <c r="F208" s="7">
        <f>(1+E208)/(1+'inflation-monthly'!D208)-1</f>
        <v>-3.1945875310865901E-2</v>
      </c>
    </row>
    <row r="209" spans="2:6" x14ac:dyDescent="0.2">
      <c r="B209" s="4">
        <v>37315</v>
      </c>
      <c r="C209" s="8">
        <f>1988.559*(1/291.613*100)</f>
        <v>681.91712989475775</v>
      </c>
      <c r="D209" s="8">
        <f t="shared" si="6"/>
        <v>203.81323116638532</v>
      </c>
      <c r="E209" s="6">
        <f t="shared" si="7"/>
        <v>-8.7952172361335235E-3</v>
      </c>
      <c r="F209" s="7">
        <f>(1+E209)/(1+'inflation-monthly'!D209)-1</f>
        <v>-7.0825536512233445E-3</v>
      </c>
    </row>
    <row r="210" spans="2:6" x14ac:dyDescent="0.2">
      <c r="B210" s="4">
        <v>37344</v>
      </c>
      <c r="C210" s="8">
        <f>2076.155*(1/291.613*100)</f>
        <v>711.95557125368214</v>
      </c>
      <c r="D210" s="8">
        <f t="shared" si="6"/>
        <v>211.87731428331705</v>
      </c>
      <c r="E210" s="6">
        <f t="shared" si="7"/>
        <v>4.4049987956102932E-2</v>
      </c>
      <c r="F210" s="7">
        <f>(1+E210)/(1+'inflation-monthly'!D210)-1</f>
        <v>3.9566043238618454E-2</v>
      </c>
    </row>
    <row r="211" spans="2:6" x14ac:dyDescent="0.2">
      <c r="B211" s="4">
        <v>37376</v>
      </c>
      <c r="C211" s="8">
        <f>2005.587*(1/291.613*100)</f>
        <v>687.7563757445655</v>
      </c>
      <c r="D211" s="8">
        <f t="shared" si="6"/>
        <v>203.02750156636219</v>
      </c>
      <c r="E211" s="6">
        <f t="shared" si="7"/>
        <v>-3.3989755100173324E-2</v>
      </c>
      <c r="F211" s="7">
        <f>(1+E211)/(1+'inflation-monthly'!D211)-1</f>
        <v>-4.1768571339926952E-2</v>
      </c>
    </row>
    <row r="212" spans="2:6" x14ac:dyDescent="0.2">
      <c r="B212" s="4">
        <v>37407</v>
      </c>
      <c r="C212" s="8">
        <f>2008.931*(1/291.613*100)</f>
        <v>688.90310102773196</v>
      </c>
      <c r="D212" s="8">
        <f t="shared" si="6"/>
        <v>202.03283533714841</v>
      </c>
      <c r="E212" s="6">
        <f t="shared" si="7"/>
        <v>1.6673422793427317E-3</v>
      </c>
      <c r="F212" s="7">
        <f>(1+E212)/(1+'inflation-monthly'!D212)-1</f>
        <v>-4.8991699229902208E-3</v>
      </c>
    </row>
    <row r="213" spans="2:6" x14ac:dyDescent="0.2">
      <c r="B213" s="4">
        <v>37435</v>
      </c>
      <c r="C213" s="8">
        <f>1886.694*(1/291.613*100)</f>
        <v>646.98555962868591</v>
      </c>
      <c r="D213" s="8">
        <f t="shared" si="6"/>
        <v>189.12934667645126</v>
      </c>
      <c r="E213" s="6">
        <f t="shared" si="7"/>
        <v>-6.0846788665215534E-2</v>
      </c>
      <c r="F213" s="7">
        <f>(1+E213)/(1+'inflation-monthly'!D213)-1</f>
        <v>-6.3868274873062347E-2</v>
      </c>
    </row>
    <row r="214" spans="2:6" x14ac:dyDescent="0.2">
      <c r="B214" s="4">
        <v>37468</v>
      </c>
      <c r="C214" s="8">
        <f>1727.499*(1/291.613*100)</f>
        <v>592.39437199301813</v>
      </c>
      <c r="D214" s="8">
        <f t="shared" si="6"/>
        <v>172.87458352428061</v>
      </c>
      <c r="E214" s="6">
        <f t="shared" si="7"/>
        <v>-8.4377752831142683E-2</v>
      </c>
      <c r="F214" s="7">
        <f>(1+E214)/(1+'inflation-monthly'!D214)-1</f>
        <v>-8.5945219173088505E-2</v>
      </c>
    </row>
    <row r="215" spans="2:6" x14ac:dyDescent="0.2">
      <c r="B215" s="4">
        <v>37498</v>
      </c>
      <c r="C215" s="8">
        <f>1730.449*(1/291.613*100)</f>
        <v>593.40598670155305</v>
      </c>
      <c r="D215" s="8">
        <f t="shared" si="6"/>
        <v>173.04220294725386</v>
      </c>
      <c r="E215" s="6">
        <f t="shared" si="7"/>
        <v>1.7076710319368082E-3</v>
      </c>
      <c r="F215" s="7">
        <f>(1+E215)/(1+'inflation-monthly'!D215)-1</f>
        <v>9.696013118649649E-4</v>
      </c>
    </row>
    <row r="216" spans="2:6" x14ac:dyDescent="0.2">
      <c r="B216" s="4">
        <v>37529</v>
      </c>
      <c r="C216" s="8">
        <f>1539.926*(1/291.613*100)</f>
        <v>528.0717937814843</v>
      </c>
      <c r="D216" s="8">
        <f t="shared" si="6"/>
        <v>154.08062431562064</v>
      </c>
      <c r="E216" s="6">
        <f t="shared" si="7"/>
        <v>-0.11010032656264357</v>
      </c>
      <c r="F216" s="7">
        <f>(1+E216)/(1+'inflation-monthly'!D216)-1</f>
        <v>-0.1095777695191098</v>
      </c>
    </row>
    <row r="217" spans="2:6" x14ac:dyDescent="0.2">
      <c r="B217" s="4">
        <v>37560</v>
      </c>
      <c r="C217" s="8">
        <f>1653.394*(1/291.613*100)</f>
        <v>566.98226759438023</v>
      </c>
      <c r="D217" s="8">
        <f t="shared" si="6"/>
        <v>164.37414984007816</v>
      </c>
      <c r="E217" s="6">
        <f t="shared" si="7"/>
        <v>7.3684060143149877E-2</v>
      </c>
      <c r="F217" s="7">
        <f>(1+E217)/(1+'inflation-monthly'!D217)-1</f>
        <v>6.6806099535085872E-2</v>
      </c>
    </row>
    <row r="218" spans="2:6" x14ac:dyDescent="0.2">
      <c r="B218" s="4">
        <v>37589</v>
      </c>
      <c r="C218" s="8">
        <f>1742.287*(1/291.613*100)</f>
        <v>597.46547650481978</v>
      </c>
      <c r="D218" s="8">
        <f t="shared" si="6"/>
        <v>171.96474696789872</v>
      </c>
      <c r="E218" s="6">
        <f t="shared" si="7"/>
        <v>5.3763954629084232E-2</v>
      </c>
      <c r="F218" s="7">
        <f>(1+E218)/(1+'inflation-monthly'!D218)-1</f>
        <v>4.6178776499866681E-2</v>
      </c>
    </row>
    <row r="219" spans="2:6" x14ac:dyDescent="0.2">
      <c r="B219" s="4">
        <v>37621</v>
      </c>
      <c r="C219" s="8">
        <f>1657.636*(1/291.613*100)</f>
        <v>568.43693525322942</v>
      </c>
      <c r="D219" s="8">
        <f t="shared" si="6"/>
        <v>163.384102616478</v>
      </c>
      <c r="E219" s="6">
        <f t="shared" si="7"/>
        <v>-4.8586139941353079E-2</v>
      </c>
      <c r="F219" s="7">
        <f>(1+E219)/(1+'inflation-monthly'!D219)-1</f>
        <v>-4.9897694165319195E-2</v>
      </c>
    </row>
    <row r="220" spans="2:6" x14ac:dyDescent="0.2">
      <c r="B220" s="4">
        <v>37652</v>
      </c>
      <c r="C220" s="8">
        <f>1607.121*(1/291.613*100)</f>
        <v>551.11431932046924</v>
      </c>
      <c r="D220" s="8">
        <f t="shared" si="6"/>
        <v>158.17149946401207</v>
      </c>
      <c r="E220" s="6">
        <f t="shared" si="7"/>
        <v>-3.0474120977102337E-2</v>
      </c>
      <c r="F220" s="7">
        <f>(1+E220)/(1+'inflation-monthly'!D220)-1</f>
        <v>-3.190398006286943E-2</v>
      </c>
    </row>
    <row r="221" spans="2:6" x14ac:dyDescent="0.2">
      <c r="B221" s="4">
        <v>37680</v>
      </c>
      <c r="C221" s="8">
        <f>1578.994*(1/291.613*100)</f>
        <v>541.46900172488881</v>
      </c>
      <c r="D221" s="8">
        <f t="shared" si="6"/>
        <v>155.42810196643558</v>
      </c>
      <c r="E221" s="6">
        <f t="shared" si="7"/>
        <v>-1.7501482464605922E-2</v>
      </c>
      <c r="F221" s="7">
        <f>(1+E221)/(1+'inflation-monthly'!D221)-1</f>
        <v>-1.7344448948596436E-2</v>
      </c>
    </row>
    <row r="222" spans="2:6" x14ac:dyDescent="0.2">
      <c r="B222" s="4">
        <v>37711</v>
      </c>
      <c r="C222" s="8">
        <f>1573.782*(1/291.613*100)</f>
        <v>539.68170143306361</v>
      </c>
      <c r="D222" s="8">
        <f t="shared" si="6"/>
        <v>154.80658463311781</v>
      </c>
      <c r="E222" s="6">
        <f t="shared" si="7"/>
        <v>-3.3008358486480427E-3</v>
      </c>
      <c r="F222" s="7">
        <f>(1+E222)/(1+'inflation-monthly'!D222)-1</f>
        <v>-3.998744920992281E-3</v>
      </c>
    </row>
    <row r="223" spans="2:6" x14ac:dyDescent="0.2">
      <c r="B223" s="4">
        <v>37741</v>
      </c>
      <c r="C223" s="8">
        <f>1713.248*(1/291.613*100)</f>
        <v>587.50741565019393</v>
      </c>
      <c r="D223" s="8">
        <f t="shared" si="6"/>
        <v>167.23929110522081</v>
      </c>
      <c r="E223" s="6">
        <f t="shared" si="7"/>
        <v>8.8618372811482216E-2</v>
      </c>
      <c r="F223" s="7">
        <f>(1+E223)/(1+'inflation-monthly'!D223)-1</f>
        <v>8.0311225143089082E-2</v>
      </c>
    </row>
    <row r="224" spans="2:6" x14ac:dyDescent="0.2">
      <c r="B224" s="4">
        <v>37771</v>
      </c>
      <c r="C224" s="8">
        <f>1810.79*(1/291.613*100)</f>
        <v>620.95654171796184</v>
      </c>
      <c r="D224" s="8">
        <f t="shared" si="6"/>
        <v>175.77100571852174</v>
      </c>
      <c r="E224" s="6">
        <f t="shared" si="7"/>
        <v>5.693396402622386E-2</v>
      </c>
      <c r="F224" s="7">
        <f>(1+E224)/(1+'inflation-monthly'!D224)-1</f>
        <v>5.1015013020672795E-2</v>
      </c>
    </row>
    <row r="225" spans="2:6" x14ac:dyDescent="0.2">
      <c r="B225" s="4">
        <v>37802</v>
      </c>
      <c r="C225" s="8">
        <f>1841.901*(1/291.613*100)</f>
        <v>631.62513331024343</v>
      </c>
      <c r="D225" s="8">
        <f t="shared" si="6"/>
        <v>178.7995773440812</v>
      </c>
      <c r="E225" s="6">
        <f t="shared" si="7"/>
        <v>1.7180898944659573E-2</v>
      </c>
      <c r="F225" s="7">
        <f>(1+E225)/(1+'inflation-monthly'!D225)-1</f>
        <v>1.7230211622099922E-2</v>
      </c>
    </row>
    <row r="226" spans="2:6" x14ac:dyDescent="0.2">
      <c r="B226" s="4">
        <v>37833</v>
      </c>
      <c r="C226" s="8">
        <f>1879.089*(1/291.613*100)</f>
        <v>644.3776512021069</v>
      </c>
      <c r="D226" s="8">
        <f t="shared" si="6"/>
        <v>182.94621760027229</v>
      </c>
      <c r="E226" s="6">
        <f t="shared" si="7"/>
        <v>2.0190010212275178E-2</v>
      </c>
      <c r="F226" s="7">
        <f>(1+E226)/(1+'inflation-monthly'!D226)-1</f>
        <v>2.31915551355657E-2</v>
      </c>
    </row>
    <row r="227" spans="2:6" x14ac:dyDescent="0.2">
      <c r="B227" s="4">
        <v>37862</v>
      </c>
      <c r="C227" s="8">
        <f>1919.456*(1/291.613*100)</f>
        <v>658.22031253750686</v>
      </c>
      <c r="D227" s="8">
        <f t="shared" si="6"/>
        <v>186.78548861244943</v>
      </c>
      <c r="E227" s="6">
        <f t="shared" si="7"/>
        <v>2.1482218245117535E-2</v>
      </c>
      <c r="F227" s="7">
        <f>(1+E227)/(1+'inflation-monthly'!D227)-1</f>
        <v>2.0985790592105813E-2</v>
      </c>
    </row>
    <row r="228" spans="2:6" x14ac:dyDescent="0.2">
      <c r="B228" s="4">
        <v>37894</v>
      </c>
      <c r="C228" s="8">
        <f>1931.008*(1/291.613*100)</f>
        <v>662.18172715208163</v>
      </c>
      <c r="D228" s="8">
        <f t="shared" si="6"/>
        <v>187.55408352587355</v>
      </c>
      <c r="E228" s="6">
        <f t="shared" si="7"/>
        <v>6.0183718720303592E-3</v>
      </c>
      <c r="F228" s="7">
        <f>(1+E228)/(1+'inflation-monthly'!D228)-1</f>
        <v>4.1148534564097172E-3</v>
      </c>
    </row>
    <row r="229" spans="2:6" x14ac:dyDescent="0.2">
      <c r="B229" s="4">
        <v>37925</v>
      </c>
      <c r="C229" s="8">
        <f>2045.405*(1/291.613*100)</f>
        <v>701.41077386810593</v>
      </c>
      <c r="D229" s="8">
        <f t="shared" si="6"/>
        <v>197.59150003311277</v>
      </c>
      <c r="E229" s="6">
        <f t="shared" si="7"/>
        <v>5.924211603473406E-2</v>
      </c>
      <c r="F229" s="7">
        <f>(1+E229)/(1+'inflation-monthly'!D229)-1</f>
        <v>5.3517451172181651E-2</v>
      </c>
    </row>
    <row r="230" spans="2:6" x14ac:dyDescent="0.2">
      <c r="B230" s="4">
        <v>37953</v>
      </c>
      <c r="C230" s="8">
        <f>2076.32*(1/291.613*100)</f>
        <v>712.01215309331201</v>
      </c>
      <c r="D230" s="8">
        <f t="shared" si="6"/>
        <v>200.02299609171212</v>
      </c>
      <c r="E230" s="6">
        <f t="shared" si="7"/>
        <v>1.5114366103534671E-2</v>
      </c>
      <c r="F230" s="7">
        <f>(1+E230)/(1+'inflation-monthly'!D230)-1</f>
        <v>1.230567133804783E-2</v>
      </c>
    </row>
    <row r="231" spans="2:6" x14ac:dyDescent="0.2">
      <c r="B231" s="4">
        <v>37986</v>
      </c>
      <c r="C231" s="8">
        <f>2206.423*(1/291.613*100)</f>
        <v>756.62710510162435</v>
      </c>
      <c r="D231" s="8">
        <f t="shared" si="6"/>
        <v>212.43381641044982</v>
      </c>
      <c r="E231" s="6">
        <f t="shared" si="7"/>
        <v>6.2660379902905072E-2</v>
      </c>
      <c r="F231" s="7">
        <f>(1+E231)/(1+'inflation-monthly'!D231)-1</f>
        <v>6.2046967404923992E-2</v>
      </c>
    </row>
    <row r="232" spans="2:6" x14ac:dyDescent="0.2">
      <c r="B232" s="4">
        <v>38016</v>
      </c>
      <c r="C232" s="8">
        <f>2241.827*(1/291.613*100)</f>
        <v>768.76785328500443</v>
      </c>
      <c r="D232" s="8">
        <f t="shared" si="6"/>
        <v>215.82954483075903</v>
      </c>
      <c r="E232" s="6">
        <f t="shared" si="7"/>
        <v>1.6045880594972139E-2</v>
      </c>
      <c r="F232" s="7">
        <f>(1+E232)/(1+'inflation-monthly'!D232)-1</f>
        <v>1.5984876973392126E-2</v>
      </c>
    </row>
    <row r="233" spans="2:6" x14ac:dyDescent="0.2">
      <c r="B233" s="4">
        <v>38044</v>
      </c>
      <c r="C233" s="8">
        <f>2279.367*(1/291.613*100)</f>
        <v>781.64107910141183</v>
      </c>
      <c r="D233" s="8">
        <f t="shared" si="6"/>
        <v>219.77660817212325</v>
      </c>
      <c r="E233" s="6">
        <f t="shared" si="7"/>
        <v>1.6745270710005755E-2</v>
      </c>
      <c r="F233" s="7">
        <f>(1+E233)/(1+'inflation-monthly'!D233)-1</f>
        <v>1.8287873166110247E-2</v>
      </c>
    </row>
    <row r="234" spans="2:6" x14ac:dyDescent="0.2">
      <c r="B234" s="4">
        <v>38077</v>
      </c>
      <c r="C234" s="8">
        <f>2264.242*(1/291.613*100)</f>
        <v>776.45441046866915</v>
      </c>
      <c r="D234" s="8">
        <f t="shared" si="6"/>
        <v>217.81470059205984</v>
      </c>
      <c r="E234" s="6">
        <f t="shared" si="7"/>
        <v>-6.6356141858682216E-3</v>
      </c>
      <c r="F234" s="7">
        <f>(1+E234)/(1+'inflation-monthly'!D234)-1</f>
        <v>-8.9268261821880968E-3</v>
      </c>
    </row>
    <row r="235" spans="2:6" x14ac:dyDescent="0.2">
      <c r="B235" s="4">
        <v>38107</v>
      </c>
      <c r="C235" s="8">
        <f>2217.867*(1/291.613*100)</f>
        <v>760.55148433025965</v>
      </c>
      <c r="D235" s="8">
        <f t="shared" si="6"/>
        <v>211.55425189547165</v>
      </c>
      <c r="E235" s="6">
        <f t="shared" si="7"/>
        <v>-2.0481467970296485E-2</v>
      </c>
      <c r="F235" s="7">
        <f>(1+E235)/(1+'inflation-monthly'!D235)-1</f>
        <v>-2.8742085265921702E-2</v>
      </c>
    </row>
    <row r="236" spans="2:6" x14ac:dyDescent="0.2">
      <c r="B236" s="4">
        <v>38138</v>
      </c>
      <c r="C236" s="8">
        <f>2238.074*(1/291.613*100)</f>
        <v>767.48087362360388</v>
      </c>
      <c r="D236" s="8">
        <f t="shared" si="6"/>
        <v>212.09473773383112</v>
      </c>
      <c r="E236" s="6">
        <f t="shared" si="7"/>
        <v>9.1110062055117513E-3</v>
      </c>
      <c r="F236" s="7">
        <f>(1+E236)/(1+'inflation-monthly'!D236)-1</f>
        <v>2.5548332567975063E-3</v>
      </c>
    </row>
    <row r="237" spans="2:6" x14ac:dyDescent="0.2">
      <c r="B237" s="4">
        <v>38168</v>
      </c>
      <c r="C237" s="8">
        <f>2284.019*(1/291.613*100)</f>
        <v>783.23634405873531</v>
      </c>
      <c r="D237" s="8">
        <f t="shared" si="6"/>
        <v>215.9631882607716</v>
      </c>
      <c r="E237" s="6">
        <f t="shared" si="7"/>
        <v>2.052881182659716E-2</v>
      </c>
      <c r="F237" s="7">
        <f>(1+E237)/(1+'inflation-monthly'!D237)-1</f>
        <v>1.8239257457651759E-2</v>
      </c>
    </row>
    <row r="238" spans="2:6" x14ac:dyDescent="0.2">
      <c r="B238" s="4">
        <v>38198</v>
      </c>
      <c r="C238" s="8">
        <f>2209.446*(1/291.613*100)</f>
        <v>757.66375298769253</v>
      </c>
      <c r="D238" s="8">
        <f t="shared" si="6"/>
        <v>209.3074383327388</v>
      </c>
      <c r="E238" s="6">
        <f t="shared" si="7"/>
        <v>-3.2649903525320934E-2</v>
      </c>
      <c r="F238" s="7">
        <f>(1+E238)/(1+'inflation-monthly'!D238)-1</f>
        <v>-3.0818909378185877E-2</v>
      </c>
    </row>
    <row r="239" spans="2:6" x14ac:dyDescent="0.2">
      <c r="B239" s="4">
        <v>38230</v>
      </c>
      <c r="C239" s="8">
        <f>2219.157*(1/291.613*100)</f>
        <v>760.99385144009352</v>
      </c>
      <c r="D239" s="8">
        <f t="shared" si="6"/>
        <v>210.9611272479647</v>
      </c>
      <c r="E239" s="6">
        <f t="shared" si="7"/>
        <v>4.395219435098241E-3</v>
      </c>
      <c r="F239" s="7">
        <f>(1+E239)/(1+'inflation-monthly'!D239)-1</f>
        <v>7.9007651538738344E-3</v>
      </c>
    </row>
    <row r="240" spans="2:6" x14ac:dyDescent="0.2">
      <c r="B240" s="4">
        <v>38260</v>
      </c>
      <c r="C240" s="8">
        <f>2261.138*(1/291.613*100)</f>
        <v>775.38998604314622</v>
      </c>
      <c r="D240" s="8">
        <f t="shared" si="6"/>
        <v>215.12307747188024</v>
      </c>
      <c r="E240" s="6">
        <f t="shared" si="7"/>
        <v>1.8917543914197976E-2</v>
      </c>
      <c r="F240" s="7">
        <f>(1+E240)/(1+'inflation-monthly'!D240)-1</f>
        <v>1.9728517183279726E-2</v>
      </c>
    </row>
    <row r="241" spans="2:6" x14ac:dyDescent="0.2">
      <c r="B241" s="4">
        <v>38289</v>
      </c>
      <c r="C241" s="8">
        <f>2316.469*(1/291.613*100)</f>
        <v>794.36410585261967</v>
      </c>
      <c r="D241" s="8">
        <f t="shared" si="6"/>
        <v>218.97459459879406</v>
      </c>
      <c r="E241" s="6">
        <f t="shared" si="7"/>
        <v>2.4470421531105124E-2</v>
      </c>
      <c r="F241" s="7">
        <f>(1+E241)/(1+'inflation-monthly'!D241)-1</f>
        <v>1.7903784067133666E-2</v>
      </c>
    </row>
    <row r="242" spans="2:6" x14ac:dyDescent="0.2">
      <c r="B242" s="4">
        <v>38321</v>
      </c>
      <c r="C242" s="8">
        <f>2438.156*(1/291.613*100)</f>
        <v>836.09304111956601</v>
      </c>
      <c r="D242" s="8">
        <f t="shared" si="6"/>
        <v>229.22475146039577</v>
      </c>
      <c r="E242" s="6">
        <f t="shared" si="7"/>
        <v>5.2531244752250128E-2</v>
      </c>
      <c r="F242" s="7">
        <f>(1+E242)/(1+'inflation-monthly'!D242)-1</f>
        <v>4.6809799467294688E-2</v>
      </c>
    </row>
    <row r="243" spans="2:6" x14ac:dyDescent="0.2">
      <c r="B243" s="4">
        <v>38352</v>
      </c>
      <c r="C243" s="8">
        <f>2531.228*(1/291.613*100)</f>
        <v>868.00931371372337</v>
      </c>
      <c r="D243" s="8">
        <f t="shared" si="6"/>
        <v>237.79072435761822</v>
      </c>
      <c r="E243" s="6">
        <f t="shared" si="7"/>
        <v>3.8173111154495398E-2</v>
      </c>
      <c r="F243" s="7">
        <f>(1+E243)/(1+'inflation-monthly'!D243)-1</f>
        <v>3.736931916230013E-2</v>
      </c>
    </row>
    <row r="244" spans="2:6" x14ac:dyDescent="0.2">
      <c r="B244" s="4">
        <v>38383</v>
      </c>
      <c r="C244" s="8">
        <f>2474.239*(1/291.613*100)</f>
        <v>848.46663214602916</v>
      </c>
      <c r="D244" s="8">
        <f t="shared" si="6"/>
        <v>233.49710181240556</v>
      </c>
      <c r="E244" s="6">
        <f t="shared" si="7"/>
        <v>-2.2514368519943706E-2</v>
      </c>
      <c r="F244" s="7">
        <f>(1+E244)/(1+'inflation-monthly'!D244)-1</f>
        <v>-1.8056307943935535E-2</v>
      </c>
    </row>
    <row r="245" spans="2:6" x14ac:dyDescent="0.2">
      <c r="B245" s="4">
        <v>38411</v>
      </c>
      <c r="C245" s="8">
        <f>2552.618*(1/291.613*100)</f>
        <v>875.34437765120208</v>
      </c>
      <c r="D245" s="8">
        <f t="shared" si="6"/>
        <v>240.99608083413762</v>
      </c>
      <c r="E245" s="6">
        <f t="shared" si="7"/>
        <v>3.167802302041145E-2</v>
      </c>
      <c r="F245" s="7">
        <f>(1+E245)/(1+'inflation-monthly'!D245)-1</f>
        <v>3.2115940470031301E-2</v>
      </c>
    </row>
    <row r="246" spans="2:6" x14ac:dyDescent="0.2">
      <c r="B246" s="4">
        <v>38442</v>
      </c>
      <c r="C246" s="8">
        <f>2503.068*(1/291.613*100)</f>
        <v>858.35267975021691</v>
      </c>
      <c r="D246" s="8">
        <f t="shared" si="6"/>
        <v>235.51275582318829</v>
      </c>
      <c r="E246" s="6">
        <f t="shared" si="7"/>
        <v>-1.941144346706003E-2</v>
      </c>
      <c r="F246" s="7">
        <f>(1+E246)/(1+'inflation-monthly'!D246)-1</f>
        <v>-2.2752755945119052E-2</v>
      </c>
    </row>
    <row r="247" spans="2:6" x14ac:dyDescent="0.2">
      <c r="B247" s="4">
        <v>38471</v>
      </c>
      <c r="C247" s="8">
        <f>2448.528*(1/291.613*100)</f>
        <v>839.64980985072668</v>
      </c>
      <c r="D247" s="8">
        <f t="shared" si="6"/>
        <v>228.82441739593452</v>
      </c>
      <c r="E247" s="6">
        <f t="shared" si="7"/>
        <v>-2.1789260219858386E-2</v>
      </c>
      <c r="F247" s="7">
        <f>(1+E247)/(1+'inflation-monthly'!D247)-1</f>
        <v>-2.8399049571119828E-2</v>
      </c>
    </row>
    <row r="248" spans="2:6" x14ac:dyDescent="0.2">
      <c r="B248" s="4">
        <v>38503</v>
      </c>
      <c r="C248" s="8">
        <f>2492.032*(1/291.613*100)</f>
        <v>854.56821197957572</v>
      </c>
      <c r="D248" s="8">
        <f t="shared" si="6"/>
        <v>231.92378246501818</v>
      </c>
      <c r="E248" s="6">
        <f t="shared" si="7"/>
        <v>1.7767409643671961E-2</v>
      </c>
      <c r="F248" s="7">
        <f>(1+E248)/(1+'inflation-monthly'!D248)-1</f>
        <v>1.354473051589089E-2</v>
      </c>
    </row>
    <row r="249" spans="2:6" x14ac:dyDescent="0.2">
      <c r="B249" s="4">
        <v>38533</v>
      </c>
      <c r="C249" s="8">
        <f>2513.595*(1/291.613*100)</f>
        <v>861.96260111860568</v>
      </c>
      <c r="D249" s="8">
        <f t="shared" si="6"/>
        <v>233.87345860441027</v>
      </c>
      <c r="E249" s="6">
        <f t="shared" si="7"/>
        <v>8.6527781344698518E-3</v>
      </c>
      <c r="F249" s="7">
        <f>(1+E249)/(1+'inflation-monthly'!D249)-1</f>
        <v>8.4065382112599174E-3</v>
      </c>
    </row>
    <row r="250" spans="2:6" x14ac:dyDescent="0.2">
      <c r="B250" s="4">
        <v>38562</v>
      </c>
      <c r="C250" s="8">
        <f>2601.399*(1/291.613*100)</f>
        <v>892.07236988748775</v>
      </c>
      <c r="D250" s="8">
        <f t="shared" si="6"/>
        <v>241.31685445973451</v>
      </c>
      <c r="E250" s="6">
        <f t="shared" si="7"/>
        <v>3.4931641732260044E-2</v>
      </c>
      <c r="F250" s="7">
        <f>(1+E250)/(1+'inflation-monthly'!D250)-1</f>
        <v>3.1826595030240323E-2</v>
      </c>
    </row>
    <row r="251" spans="2:6" x14ac:dyDescent="0.2">
      <c r="B251" s="4">
        <v>38595</v>
      </c>
      <c r="C251" s="8">
        <f>2621.001*(1/291.613*100)</f>
        <v>898.79429243552249</v>
      </c>
      <c r="D251" s="8">
        <f t="shared" si="6"/>
        <v>242.86795355836077</v>
      </c>
      <c r="E251" s="6">
        <f t="shared" si="7"/>
        <v>7.5351762647715148E-3</v>
      </c>
      <c r="F251" s="7">
        <f>(1+E251)/(1+'inflation-monthly'!D251)-1</f>
        <v>6.4276451062603712E-3</v>
      </c>
    </row>
    <row r="252" spans="2:6" x14ac:dyDescent="0.2">
      <c r="B252" s="4">
        <v>38625</v>
      </c>
      <c r="C252" s="8">
        <f>2689.078*(1/291.613*100)</f>
        <v>922.13927362634718</v>
      </c>
      <c r="D252" s="8">
        <f t="shared" si="6"/>
        <v>248.69841549072697</v>
      </c>
      <c r="E252" s="6">
        <f t="shared" si="7"/>
        <v>2.5973664260333873E-2</v>
      </c>
      <c r="F252" s="7">
        <f>(1+E252)/(1+'inflation-monthly'!D252)-1</f>
        <v>2.4006715776790033E-2</v>
      </c>
    </row>
    <row r="253" spans="2:6" x14ac:dyDescent="0.2">
      <c r="B253" s="4">
        <v>38656</v>
      </c>
      <c r="C253" s="8">
        <f>2623.838*(1/291.613*100)</f>
        <v>899.76715715691694</v>
      </c>
      <c r="D253" s="8">
        <f t="shared" si="6"/>
        <v>241.53495887080649</v>
      </c>
      <c r="E253" s="6">
        <f t="shared" si="7"/>
        <v>-2.4261103619902302E-2</v>
      </c>
      <c r="F253" s="7">
        <f>(1+E253)/(1+'inflation-monthly'!D253)-1</f>
        <v>-2.8803788740614511E-2</v>
      </c>
    </row>
    <row r="254" spans="2:6" x14ac:dyDescent="0.2">
      <c r="B254" s="4">
        <v>38686</v>
      </c>
      <c r="C254" s="8">
        <f>2711.263*(1/291.613*100)</f>
        <v>929.74695915477014</v>
      </c>
      <c r="D254" s="8">
        <f t="shared" si="6"/>
        <v>248.53993555229113</v>
      </c>
      <c r="E254" s="6">
        <f t="shared" si="7"/>
        <v>3.3319511341782349E-2</v>
      </c>
      <c r="F254" s="7">
        <f>(1+E254)/(1+'inflation-monthly'!D254)-1</f>
        <v>2.9001916386072635E-2</v>
      </c>
    </row>
    <row r="255" spans="2:6" x14ac:dyDescent="0.2">
      <c r="B255" s="4">
        <v>38716</v>
      </c>
      <c r="C255" s="8">
        <f>2771.33*(1/291.613*100)</f>
        <v>950.34514922174242</v>
      </c>
      <c r="D255" s="8">
        <f t="shared" si="6"/>
        <v>253.79640472659514</v>
      </c>
      <c r="E255" s="6">
        <f t="shared" si="7"/>
        <v>2.2154619452262603E-2</v>
      </c>
      <c r="F255" s="7">
        <f>(1+E255)/(1+'inflation-monthly'!D255)-1</f>
        <v>2.1149394613881212E-2</v>
      </c>
    </row>
    <row r="256" spans="2:6" x14ac:dyDescent="0.2">
      <c r="B256" s="4">
        <v>38748</v>
      </c>
      <c r="C256" s="8">
        <f>2895.079*(1/291.613*100)</f>
        <v>992.78118602394272</v>
      </c>
      <c r="D256" s="8">
        <f t="shared" si="6"/>
        <v>266.02366433079936</v>
      </c>
      <c r="E256" s="6">
        <f t="shared" si="7"/>
        <v>4.465328921492584E-2</v>
      </c>
      <c r="F256" s="7">
        <f>(1+E256)/(1+'inflation-monthly'!D256)-1</f>
        <v>4.8177434260253449E-2</v>
      </c>
    </row>
    <row r="257" spans="2:6" x14ac:dyDescent="0.2">
      <c r="B257" s="4">
        <v>38776</v>
      </c>
      <c r="C257" s="8">
        <f>2890.769*(1/291.613*100)</f>
        <v>991.30319978876105</v>
      </c>
      <c r="D257" s="8">
        <f t="shared" si="6"/>
        <v>265.0831478474762</v>
      </c>
      <c r="E257" s="6">
        <f t="shared" si="7"/>
        <v>-1.4887331226540734E-3</v>
      </c>
      <c r="F257" s="7">
        <f>(1+E257)/(1+'inflation-monthly'!D257)-1</f>
        <v>-3.5354617255163312E-3</v>
      </c>
    </row>
    <row r="258" spans="2:6" x14ac:dyDescent="0.2">
      <c r="B258" s="4">
        <v>38807</v>
      </c>
      <c r="C258" s="8">
        <f>2954.334*(1/291.613*100)</f>
        <v>1013.1009248558877</v>
      </c>
      <c r="D258" s="8">
        <f t="shared" si="6"/>
        <v>267.53594614374066</v>
      </c>
      <c r="E258" s="6">
        <f t="shared" si="7"/>
        <v>2.1988958647335632E-2</v>
      </c>
      <c r="F258" s="7">
        <f>(1+E258)/(1+'inflation-monthly'!D258)-1</f>
        <v>9.252939374613689E-3</v>
      </c>
    </row>
    <row r="259" spans="2:6" x14ac:dyDescent="0.2">
      <c r="B259" s="4">
        <v>38835</v>
      </c>
      <c r="C259" s="8">
        <f>3044.03*(1/291.613*100)</f>
        <v>1043.859498719193</v>
      </c>
      <c r="D259" s="8">
        <f t="shared" si="6"/>
        <v>274.24131642946253</v>
      </c>
      <c r="E259" s="6">
        <f t="shared" si="7"/>
        <v>3.036081905431165E-2</v>
      </c>
      <c r="F259" s="7">
        <f>(1+E259)/(1+'inflation-monthly'!D259)-1</f>
        <v>2.5063436829229735E-2</v>
      </c>
    </row>
    <row r="260" spans="2:6" x14ac:dyDescent="0.2">
      <c r="B260" s="4">
        <v>38868</v>
      </c>
      <c r="C260" s="8">
        <f>2940.049*(1/291.613*100)</f>
        <v>1008.2023092248974</v>
      </c>
      <c r="D260" s="8">
        <f t="shared" ref="D260:D323" si="8">D259*(1+F260)</f>
        <v>263.74002631742343</v>
      </c>
      <c r="E260" s="6">
        <f t="shared" si="7"/>
        <v>-3.4158993176808483E-2</v>
      </c>
      <c r="F260" s="7">
        <f>(1+E260)/(1+'inflation-monthly'!D260)-1</f>
        <v>-3.8292151776262773E-2</v>
      </c>
    </row>
    <row r="261" spans="2:6" x14ac:dyDescent="0.2">
      <c r="B261" s="4">
        <v>38898</v>
      </c>
      <c r="C261" s="8">
        <f>2939.187*(1/291.613*100)</f>
        <v>1007.9067119778611</v>
      </c>
      <c r="D261" s="8">
        <f t="shared" si="8"/>
        <v>263.7867860938988</v>
      </c>
      <c r="E261" s="6">
        <f t="shared" ref="E261:E324" si="9">C261/C260-1</f>
        <v>-2.9319239237168837E-4</v>
      </c>
      <c r="F261" s="7">
        <f>(1+E261)/(1+'inflation-monthly'!D261)-1</f>
        <v>1.7729495643226123E-4</v>
      </c>
    </row>
    <row r="262" spans="2:6" x14ac:dyDescent="0.2">
      <c r="B262" s="4">
        <v>38929</v>
      </c>
      <c r="C262" s="8">
        <f>2957.53*(1/291.613*100)</f>
        <v>1014.1968979435073</v>
      </c>
      <c r="D262" s="8">
        <f t="shared" si="8"/>
        <v>266.05027885828474</v>
      </c>
      <c r="E262" s="6">
        <f t="shared" si="9"/>
        <v>6.2408414299601755E-3</v>
      </c>
      <c r="F262" s="7">
        <f>(1+E262)/(1+'inflation-monthly'!D262)-1</f>
        <v>8.5807662995682765E-3</v>
      </c>
    </row>
    <row r="263" spans="2:6" x14ac:dyDescent="0.2">
      <c r="B263" s="4">
        <v>38960</v>
      </c>
      <c r="C263" s="8">
        <f>3034.299*(1/291.613*100)</f>
        <v>1040.5225418619882</v>
      </c>
      <c r="D263" s="8">
        <f t="shared" si="8"/>
        <v>273.3769048821581</v>
      </c>
      <c r="E263" s="6">
        <f t="shared" si="9"/>
        <v>2.5957133148268863E-2</v>
      </c>
      <c r="F263" s="7">
        <f>(1+E263)/(1+'inflation-monthly'!D263)-1</f>
        <v>2.7538501576899188E-2</v>
      </c>
    </row>
    <row r="264" spans="2:6" x14ac:dyDescent="0.2">
      <c r="B264" s="4">
        <v>38989</v>
      </c>
      <c r="C264" s="8">
        <f>3070.479*(1/291.613*100)</f>
        <v>1052.929396151749</v>
      </c>
      <c r="D264" s="8">
        <f t="shared" si="8"/>
        <v>275.48667714104334</v>
      </c>
      <c r="E264" s="6">
        <f t="shared" si="9"/>
        <v>1.1923676605370748E-2</v>
      </c>
      <c r="F264" s="7">
        <f>(1+E264)/(1+'inflation-monthly'!D264)-1</f>
        <v>7.7174487720339524E-3</v>
      </c>
    </row>
    <row r="265" spans="2:6" x14ac:dyDescent="0.2">
      <c r="B265" s="4">
        <v>39021</v>
      </c>
      <c r="C265" s="8">
        <f>3183.174*(1/291.613*100)</f>
        <v>1091.5747926189847</v>
      </c>
      <c r="D265" s="8">
        <f t="shared" si="8"/>
        <v>285.39633431780118</v>
      </c>
      <c r="E265" s="6">
        <f t="shared" si="9"/>
        <v>3.6702742471125926E-2</v>
      </c>
      <c r="F265" s="7">
        <f>(1+E265)/(1+'inflation-monthly'!D265)-1</f>
        <v>3.597145705773741E-2</v>
      </c>
    </row>
    <row r="266" spans="2:6" x14ac:dyDescent="0.2">
      <c r="B266" s="4">
        <v>39051</v>
      </c>
      <c r="C266" s="8">
        <f>3261.124*(1/291.613*100)</f>
        <v>1118.3054253411199</v>
      </c>
      <c r="D266" s="8">
        <f t="shared" si="8"/>
        <v>291.98958169885589</v>
      </c>
      <c r="E266" s="6">
        <f t="shared" si="9"/>
        <v>2.4488136683699979E-2</v>
      </c>
      <c r="F266" s="7">
        <f>(1+E266)/(1+'inflation-monthly'!D266)-1</f>
        <v>2.3102074512676873E-2</v>
      </c>
    </row>
    <row r="267" spans="2:6" x14ac:dyDescent="0.2">
      <c r="B267" s="4">
        <v>39080</v>
      </c>
      <c r="C267" s="8">
        <f>3327.426*(1/291.613*100)</f>
        <v>1141.0417231056229</v>
      </c>
      <c r="D267" s="8">
        <f t="shared" si="8"/>
        <v>297.26794832537701</v>
      </c>
      <c r="E267" s="6">
        <f t="shared" si="9"/>
        <v>2.0331026971068811E-2</v>
      </c>
      <c r="F267" s="7">
        <f>(1+E267)/(1+'inflation-monthly'!D267)-1</f>
        <v>1.8077243016036748E-2</v>
      </c>
    </row>
    <row r="268" spans="2:6" x14ac:dyDescent="0.2">
      <c r="B268" s="4">
        <v>39113</v>
      </c>
      <c r="C268" s="8">
        <f>3366.707*(1/291.613*100)</f>
        <v>1154.5119730601859</v>
      </c>
      <c r="D268" s="8">
        <f t="shared" si="8"/>
        <v>301.60162769704652</v>
      </c>
      <c r="E268" s="6">
        <f t="shared" si="9"/>
        <v>1.1805221213033734E-2</v>
      </c>
      <c r="F268" s="7">
        <f>(1+E268)/(1+'inflation-monthly'!D268)-1</f>
        <v>1.4578360688001446E-2</v>
      </c>
    </row>
    <row r="269" spans="2:6" x14ac:dyDescent="0.2">
      <c r="B269" s="4">
        <v>39141</v>
      </c>
      <c r="C269" s="8">
        <f>3349.188*(1/291.613*100)</f>
        <v>1148.504353372449</v>
      </c>
      <c r="D269" s="8">
        <f t="shared" si="8"/>
        <v>300.08257551570131</v>
      </c>
      <c r="E269" s="6">
        <f t="shared" si="9"/>
        <v>-5.2036010261660159E-3</v>
      </c>
      <c r="F269" s="7">
        <f>(1+E269)/(1+'inflation-monthly'!D269)-1</f>
        <v>-5.0366179816213608E-3</v>
      </c>
    </row>
    <row r="270" spans="2:6" x14ac:dyDescent="0.2">
      <c r="B270" s="4">
        <v>39171</v>
      </c>
      <c r="C270" s="8">
        <f>3410.496*(1/291.613*100)</f>
        <v>1169.5281074574864</v>
      </c>
      <c r="D270" s="8">
        <f t="shared" si="8"/>
        <v>301.80707773121031</v>
      </c>
      <c r="E270" s="6">
        <f t="shared" si="9"/>
        <v>1.830533251641886E-2</v>
      </c>
      <c r="F270" s="7">
        <f>(1+E270)/(1+'inflation-monthly'!D270)-1</f>
        <v>5.7467589130937302E-3</v>
      </c>
    </row>
    <row r="271" spans="2:6" x14ac:dyDescent="0.2">
      <c r="B271" s="4">
        <v>39202</v>
      </c>
      <c r="C271" s="8">
        <f>3560.905*(1/291.613*100)</f>
        <v>1221.1063978629211</v>
      </c>
      <c r="D271" s="8">
        <f t="shared" si="8"/>
        <v>312.26353100814202</v>
      </c>
      <c r="E271" s="6">
        <f t="shared" si="9"/>
        <v>4.4101796336955212E-2</v>
      </c>
      <c r="F271" s="7">
        <f>(1+E271)/(1+'inflation-monthly'!D271)-1</f>
        <v>3.4646149969498774E-2</v>
      </c>
    </row>
    <row r="272" spans="2:6" x14ac:dyDescent="0.2">
      <c r="B272" s="4">
        <v>39233</v>
      </c>
      <c r="C272" s="8">
        <f>3660.68*(1/291.613*100)</f>
        <v>1255.3212648270137</v>
      </c>
      <c r="D272" s="8">
        <f t="shared" si="8"/>
        <v>320.54615995322945</v>
      </c>
      <c r="E272" s="6">
        <f t="shared" si="9"/>
        <v>2.8019562442693546E-2</v>
      </c>
      <c r="F272" s="7">
        <f>(1+E272)/(1+'inflation-monthly'!D272)-1</f>
        <v>2.6524483721640513E-2</v>
      </c>
    </row>
    <row r="273" spans="2:6" x14ac:dyDescent="0.2">
      <c r="B273" s="4">
        <v>39262</v>
      </c>
      <c r="C273" s="8">
        <f>3632.444*(1/291.613*100)</f>
        <v>1245.6385689252536</v>
      </c>
      <c r="D273" s="8">
        <f t="shared" si="8"/>
        <v>318.23725960843814</v>
      </c>
      <c r="E273" s="6">
        <f t="shared" si="9"/>
        <v>-7.7133210223235826E-3</v>
      </c>
      <c r="F273" s="7">
        <f>(1+E273)/(1+'inflation-monthly'!D273)-1</f>
        <v>-7.203019824440271E-3</v>
      </c>
    </row>
    <row r="274" spans="2:6" x14ac:dyDescent="0.2">
      <c r="B274" s="4">
        <v>39294</v>
      </c>
      <c r="C274" s="8">
        <f>3551.998*(1/291.613*100)</f>
        <v>1218.0520072836259</v>
      </c>
      <c r="D274" s="8">
        <f t="shared" si="8"/>
        <v>312.0908160158819</v>
      </c>
      <c r="E274" s="6">
        <f t="shared" si="9"/>
        <v>-2.2146521735778912E-2</v>
      </c>
      <c r="F274" s="7">
        <f>(1+E274)/(1+'inflation-monthly'!D274)-1</f>
        <v>-1.9314028785060833E-2</v>
      </c>
    </row>
    <row r="275" spans="2:6" x14ac:dyDescent="0.2">
      <c r="B275" s="4">
        <v>39325</v>
      </c>
      <c r="C275" s="8">
        <f>3549.304*(1/291.613*100)</f>
        <v>1217.1281801565774</v>
      </c>
      <c r="D275" s="8">
        <f t="shared" si="8"/>
        <v>313.33585107661793</v>
      </c>
      <c r="E275" s="6">
        <f t="shared" si="9"/>
        <v>-7.5844637299904427E-4</v>
      </c>
      <c r="F275" s="7">
        <f>(1+E275)/(1+'inflation-monthly'!D275)-1</f>
        <v>3.9893357857498923E-3</v>
      </c>
    </row>
    <row r="276" spans="2:6" x14ac:dyDescent="0.2">
      <c r="B276" s="4">
        <v>39353</v>
      </c>
      <c r="C276" s="8">
        <f>3718.092*(1/291.613*100)</f>
        <v>1275.0090016563047</v>
      </c>
      <c r="D276" s="8">
        <f t="shared" si="8"/>
        <v>326.77404486636823</v>
      </c>
      <c r="E276" s="6">
        <f t="shared" si="9"/>
        <v>4.7555238998969962E-2</v>
      </c>
      <c r="F276" s="7">
        <f>(1+E276)/(1+'inflation-monthly'!D276)-1</f>
        <v>4.2887507904304067E-2</v>
      </c>
    </row>
    <row r="277" spans="2:6" x14ac:dyDescent="0.2">
      <c r="B277" s="4">
        <v>39386</v>
      </c>
      <c r="C277" s="8">
        <f>3832.132*(1/291.613*100)</f>
        <v>1314.1156258465844</v>
      </c>
      <c r="D277" s="8">
        <f t="shared" si="8"/>
        <v>334.95493947493253</v>
      </c>
      <c r="E277" s="6">
        <f t="shared" si="9"/>
        <v>3.0671645564445571E-2</v>
      </c>
      <c r="F277" s="7">
        <f>(1+E277)/(1+'inflation-monthly'!D277)-1</f>
        <v>2.5035325592979163E-2</v>
      </c>
    </row>
    <row r="278" spans="2:6" x14ac:dyDescent="0.2">
      <c r="B278" s="4">
        <v>39416</v>
      </c>
      <c r="C278" s="8">
        <f>3675.491*(1/291.613*100)</f>
        <v>1260.4002565043395</v>
      </c>
      <c r="D278" s="8">
        <f t="shared" si="8"/>
        <v>320.15221297179437</v>
      </c>
      <c r="E278" s="6">
        <f t="shared" si="9"/>
        <v>-4.0875679647778496E-2</v>
      </c>
      <c r="F278" s="7">
        <f>(1+E278)/(1+'inflation-monthly'!D278)-1</f>
        <v>-4.4193187675758971E-2</v>
      </c>
    </row>
    <row r="279" spans="2:6" x14ac:dyDescent="0.2">
      <c r="B279" s="4">
        <v>39447</v>
      </c>
      <c r="C279" s="8">
        <f>3628.072*(1/291.613*100)</f>
        <v>1244.139321635181</v>
      </c>
      <c r="D279" s="8">
        <f t="shared" si="8"/>
        <v>315.66470372667152</v>
      </c>
      <c r="E279" s="6">
        <f t="shared" si="9"/>
        <v>-1.290140555370678E-2</v>
      </c>
      <c r="F279" s="7">
        <f>(1+E279)/(1+'inflation-monthly'!D279)-1</f>
        <v>-1.4016799082748221E-2</v>
      </c>
    </row>
    <row r="280" spans="2:6" x14ac:dyDescent="0.2">
      <c r="B280" s="4">
        <v>39478</v>
      </c>
      <c r="C280" s="8">
        <f>3350.817*(1/291.613*100)</f>
        <v>1149.0629704437044</v>
      </c>
      <c r="D280" s="8">
        <f t="shared" si="8"/>
        <v>291.9097058475524</v>
      </c>
      <c r="E280" s="6">
        <f t="shared" si="9"/>
        <v>-7.6419376462209199E-2</v>
      </c>
      <c r="F280" s="7">
        <f>(1+E280)/(1+'inflation-monthly'!D280)-1</f>
        <v>-7.5253893129870297E-2</v>
      </c>
    </row>
    <row r="281" spans="2:6" x14ac:dyDescent="0.2">
      <c r="B281" s="4">
        <v>39507</v>
      </c>
      <c r="C281" s="8">
        <f>3331.423*(1/291.613*100)</f>
        <v>1142.4123753056276</v>
      </c>
      <c r="D281" s="8">
        <f t="shared" si="8"/>
        <v>290.19175566099989</v>
      </c>
      <c r="E281" s="6">
        <f t="shared" si="9"/>
        <v>-5.7878421889347997E-3</v>
      </c>
      <c r="F281" s="7">
        <f>(1+E281)/(1+'inflation-monthly'!D281)-1</f>
        <v>-5.8852109133010755E-3</v>
      </c>
    </row>
    <row r="282" spans="2:6" x14ac:dyDescent="0.2">
      <c r="B282" s="4">
        <v>39538</v>
      </c>
      <c r="C282" s="8">
        <f>3299.491*(1/291.613*100)</f>
        <v>1131.4622461961571</v>
      </c>
      <c r="D282" s="8">
        <f t="shared" si="8"/>
        <v>283.21733383577543</v>
      </c>
      <c r="E282" s="6">
        <f t="shared" si="9"/>
        <v>-9.585093216922691E-3</v>
      </c>
      <c r="F282" s="7">
        <f>(1+E282)/(1+'inflation-monthly'!D282)-1</f>
        <v>-2.4033838622803283E-2</v>
      </c>
    </row>
    <row r="283" spans="2:6" x14ac:dyDescent="0.2">
      <c r="B283" s="4">
        <v>39568</v>
      </c>
      <c r="C283" s="8">
        <f>3472.905*(1/291.613*100)</f>
        <v>1190.9294167269636</v>
      </c>
      <c r="D283" s="8">
        <f t="shared" si="8"/>
        <v>297.17249423848034</v>
      </c>
      <c r="E283" s="6">
        <f t="shared" si="9"/>
        <v>5.2557803612739207E-2</v>
      </c>
      <c r="F283" s="7">
        <f>(1+E283)/(1+'inflation-monthly'!D283)-1</f>
        <v>4.9273680440748979E-2</v>
      </c>
    </row>
    <row r="284" spans="2:6" x14ac:dyDescent="0.2">
      <c r="B284" s="4">
        <v>39598</v>
      </c>
      <c r="C284" s="8">
        <f>3525.861*(1/291.613*100)</f>
        <v>1209.0891009660063</v>
      </c>
      <c r="D284" s="8">
        <f t="shared" si="8"/>
        <v>300.38784389605144</v>
      </c>
      <c r="E284" s="6">
        <f t="shared" si="9"/>
        <v>1.5248329568473551E-2</v>
      </c>
      <c r="F284" s="7">
        <f>(1+E284)/(1+'inflation-monthly'!D284)-1</f>
        <v>1.0819809100470756E-2</v>
      </c>
    </row>
    <row r="285" spans="2:6" x14ac:dyDescent="0.2">
      <c r="B285" s="4">
        <v>39629</v>
      </c>
      <c r="C285" s="8">
        <f>3244.649*(1/291.613*100)</f>
        <v>1112.6558143841323</v>
      </c>
      <c r="D285" s="8">
        <f t="shared" si="8"/>
        <v>275.05152957647459</v>
      </c>
      <c r="E285" s="6">
        <f t="shared" si="9"/>
        <v>-7.9756972835854922E-2</v>
      </c>
      <c r="F285" s="7">
        <f>(1+E285)/(1+'inflation-monthly'!D285)-1</f>
        <v>-8.4345338316501373E-2</v>
      </c>
    </row>
    <row r="286" spans="2:6" x14ac:dyDescent="0.2">
      <c r="B286" s="4">
        <v>39660</v>
      </c>
      <c r="C286" s="8">
        <f>3165.368*(1/291.613*100)</f>
        <v>1085.4687548223158</v>
      </c>
      <c r="D286" s="8">
        <f t="shared" si="8"/>
        <v>269.89363962055984</v>
      </c>
      <c r="E286" s="6">
        <f t="shared" si="9"/>
        <v>-2.4434384119823127E-2</v>
      </c>
      <c r="F286" s="7">
        <f>(1+E286)/(1+'inflation-monthly'!D286)-1</f>
        <v>-1.8752449636825763E-2</v>
      </c>
    </row>
    <row r="287" spans="2:6" x14ac:dyDescent="0.2">
      <c r="B287" s="4">
        <v>39689</v>
      </c>
      <c r="C287" s="8">
        <f>3120.905*(1/291.613*100)</f>
        <v>1070.2214921831333</v>
      </c>
      <c r="D287" s="8">
        <f t="shared" si="8"/>
        <v>267.45234369393739</v>
      </c>
      <c r="E287" s="6">
        <f t="shared" si="9"/>
        <v>-1.4046707997300567E-2</v>
      </c>
      <c r="F287" s="7">
        <f>(1+E287)/(1+'inflation-monthly'!D287)-1</f>
        <v>-9.045399995548653E-3</v>
      </c>
    </row>
    <row r="288" spans="2:6" x14ac:dyDescent="0.2">
      <c r="B288" s="4">
        <v>39721</v>
      </c>
      <c r="C288" s="8">
        <f>2749.711*(1/291.613*100)</f>
        <v>942.93155654926215</v>
      </c>
      <c r="D288" s="8">
        <f t="shared" si="8"/>
        <v>234.39044461983929</v>
      </c>
      <c r="E288" s="6">
        <f t="shared" si="9"/>
        <v>-0.11893793627169058</v>
      </c>
      <c r="F288" s="7">
        <f>(1+E288)/(1+'inflation-monthly'!D288)-1</f>
        <v>-0.12361790746516299</v>
      </c>
    </row>
    <row r="289" spans="2:6" x14ac:dyDescent="0.2">
      <c r="B289" s="4">
        <v>39752</v>
      </c>
      <c r="C289" s="8">
        <f>2228.363*(1/291.613*100)</f>
        <v>764.15077517120289</v>
      </c>
      <c r="D289" s="8">
        <f t="shared" si="8"/>
        <v>190.24341183506866</v>
      </c>
      <c r="E289" s="6">
        <f t="shared" si="9"/>
        <v>-0.18960101625225345</v>
      </c>
      <c r="F289" s="7">
        <f>(1+E289)/(1+'inflation-monthly'!D289)-1</f>
        <v>-0.18834826162121598</v>
      </c>
    </row>
    <row r="290" spans="2:6" x14ac:dyDescent="0.2">
      <c r="B290" s="4">
        <v>39780</v>
      </c>
      <c r="C290" s="8">
        <f>2084.124*(1/291.613*100)</f>
        <v>714.68830264768712</v>
      </c>
      <c r="D290" s="8">
        <f t="shared" si="8"/>
        <v>179.07084931563301</v>
      </c>
      <c r="E290" s="6">
        <f t="shared" si="9"/>
        <v>-6.4728681996604753E-2</v>
      </c>
      <c r="F290" s="7">
        <f>(1+E290)/(1+'inflation-monthly'!D290)-1</f>
        <v>-5.8727723665520148E-2</v>
      </c>
    </row>
    <row r="291" spans="2:6" x14ac:dyDescent="0.2">
      <c r="B291" s="4">
        <v>39813</v>
      </c>
      <c r="C291" s="8">
        <f>2150.99*(1/291.613*100)</f>
        <v>737.61800742765229</v>
      </c>
      <c r="D291" s="8">
        <f t="shared" si="8"/>
        <v>185.70075041356526</v>
      </c>
      <c r="E291" s="6">
        <f t="shared" si="9"/>
        <v>3.2083503668687507E-2</v>
      </c>
      <c r="F291" s="7">
        <f>(1+E291)/(1+'inflation-monthly'!D291)-1</f>
        <v>3.7023899329623911E-2</v>
      </c>
    </row>
    <row r="292" spans="2:6" x14ac:dyDescent="0.2">
      <c r="B292" s="4">
        <v>39843</v>
      </c>
      <c r="C292" s="8">
        <f>1962.551*(1/291.613*100)</f>
        <v>672.99846028812158</v>
      </c>
      <c r="D292" s="8">
        <f t="shared" si="8"/>
        <v>170.52802090111078</v>
      </c>
      <c r="E292" s="6">
        <f t="shared" si="9"/>
        <v>-8.7605707139503108E-2</v>
      </c>
      <c r="F292" s="7">
        <f>(1+E292)/(1+'inflation-monthly'!D292)-1</f>
        <v>-8.1705267634428091E-2</v>
      </c>
    </row>
    <row r="293" spans="2:6" x14ac:dyDescent="0.2">
      <c r="B293" s="4">
        <v>39871</v>
      </c>
      <c r="C293" s="8">
        <f>1761.666*(1/291.613*100)</f>
        <v>604.11092783929382</v>
      </c>
      <c r="D293" s="8">
        <f t="shared" si="8"/>
        <v>153.15436146616403</v>
      </c>
      <c r="E293" s="6">
        <f t="shared" si="9"/>
        <v>-0.10235912340621978</v>
      </c>
      <c r="F293" s="7">
        <f>(1+E293)/(1+'inflation-monthly'!D293)-1</f>
        <v>-0.10188155203549654</v>
      </c>
    </row>
    <row r="294" spans="2:6" x14ac:dyDescent="0.2">
      <c r="B294" s="4">
        <v>39903</v>
      </c>
      <c r="C294" s="8">
        <f>1894.511*(1/291.613*100)</f>
        <v>649.6661671461834</v>
      </c>
      <c r="D294" s="8">
        <f t="shared" si="8"/>
        <v>163.40496645192297</v>
      </c>
      <c r="E294" s="6">
        <f t="shared" si="9"/>
        <v>7.5408732415792823E-2</v>
      </c>
      <c r="F294" s="7">
        <f>(1+E294)/(1+'inflation-monthly'!D294)-1</f>
        <v>6.6929892741079966E-2</v>
      </c>
    </row>
    <row r="295" spans="2:6" x14ac:dyDescent="0.2">
      <c r="B295" s="4">
        <v>39933</v>
      </c>
      <c r="C295" s="8">
        <f>2107.036*(1/291.613*100)</f>
        <v>722.54529119072197</v>
      </c>
      <c r="D295" s="8">
        <f t="shared" si="8"/>
        <v>181.2826196127572</v>
      </c>
      <c r="E295" s="6">
        <f t="shared" si="9"/>
        <v>0.11217934337673441</v>
      </c>
      <c r="F295" s="7">
        <f>(1+E295)/(1+'inflation-monthly'!D295)-1</f>
        <v>0.10940703669551066</v>
      </c>
    </row>
    <row r="296" spans="2:6" x14ac:dyDescent="0.2">
      <c r="B296" s="4">
        <v>39962</v>
      </c>
      <c r="C296" s="8">
        <f>2297.946*(1/291.613*100)</f>
        <v>788.01219424374074</v>
      </c>
      <c r="D296" s="8">
        <f t="shared" si="8"/>
        <v>198.09527357106995</v>
      </c>
      <c r="E296" s="6">
        <f t="shared" si="9"/>
        <v>9.0605950728890994E-2</v>
      </c>
      <c r="F296" s="7">
        <f>(1+E296)/(1+'inflation-monthly'!D296)-1</f>
        <v>9.2742779171145706E-2</v>
      </c>
    </row>
    <row r="297" spans="2:6" x14ac:dyDescent="0.2">
      <c r="B297" s="4">
        <v>39994</v>
      </c>
      <c r="C297" s="8">
        <f>2287.579*(1/291.613*100)</f>
        <v>784.45714011378095</v>
      </c>
      <c r="D297" s="8">
        <f t="shared" si="8"/>
        <v>197.05309907000307</v>
      </c>
      <c r="E297" s="6">
        <f t="shared" si="9"/>
        <v>-4.5114201987338509E-3</v>
      </c>
      <c r="F297" s="7">
        <f>(1+E297)/(1+'inflation-monthly'!D297)-1</f>
        <v>-5.2609761064944527E-3</v>
      </c>
    </row>
    <row r="298" spans="2:6" x14ac:dyDescent="0.2">
      <c r="B298" s="4">
        <v>40025</v>
      </c>
      <c r="C298" s="8">
        <f>2481.33*(1/291.613*100)</f>
        <v>850.89827956915497</v>
      </c>
      <c r="D298" s="8">
        <f t="shared" si="8"/>
        <v>214.88477601390355</v>
      </c>
      <c r="E298" s="6">
        <f t="shared" si="9"/>
        <v>8.4696965656705148E-2</v>
      </c>
      <c r="F298" s="7">
        <f>(1+E298)/(1+'inflation-monthly'!D298)-1</f>
        <v>9.0491735618762226E-2</v>
      </c>
    </row>
    <row r="299" spans="2:6" x14ac:dyDescent="0.2">
      <c r="B299" s="4">
        <v>40056</v>
      </c>
      <c r="C299" s="8">
        <f>2583.697*(1/291.613*100)</f>
        <v>886.00199579579782</v>
      </c>
      <c r="D299" s="8">
        <f t="shared" si="8"/>
        <v>224.40019453046759</v>
      </c>
      <c r="E299" s="6">
        <f t="shared" si="9"/>
        <v>4.1254891529945548E-2</v>
      </c>
      <c r="F299" s="7">
        <f>(1+E299)/(1+'inflation-monthly'!D299)-1</f>
        <v>4.4281492123706245E-2</v>
      </c>
    </row>
    <row r="300" spans="2:6" x14ac:dyDescent="0.2">
      <c r="B300" s="4">
        <v>40086</v>
      </c>
      <c r="C300" s="8">
        <f>2686.679*(1/291.613*100)</f>
        <v>921.31660797015218</v>
      </c>
      <c r="D300" s="8">
        <f t="shared" si="8"/>
        <v>232.89481553652359</v>
      </c>
      <c r="E300" s="6">
        <f t="shared" si="9"/>
        <v>3.9858388967436875E-2</v>
      </c>
      <c r="F300" s="7">
        <f>(1+E300)/(1+'inflation-monthly'!D300)-1</f>
        <v>3.7854784501546668E-2</v>
      </c>
    </row>
    <row r="301" spans="2:6" x14ac:dyDescent="0.2">
      <c r="B301" s="4">
        <v>40116</v>
      </c>
      <c r="C301" s="8">
        <f>2638.88*(1/291.613*100)</f>
        <v>904.92536340972458</v>
      </c>
      <c r="D301" s="8">
        <f t="shared" si="8"/>
        <v>228.62266662062822</v>
      </c>
      <c r="E301" s="6">
        <f t="shared" si="9"/>
        <v>-1.7791109395651539E-2</v>
      </c>
      <c r="F301" s="7">
        <f>(1+E301)/(1+'inflation-monthly'!D301)-1</f>
        <v>-1.83436840620671E-2</v>
      </c>
    </row>
    <row r="302" spans="2:6" x14ac:dyDescent="0.2">
      <c r="B302" s="4">
        <v>40147</v>
      </c>
      <c r="C302" s="8">
        <f>2746.712*(1/291.613*100)</f>
        <v>941.90313874895833</v>
      </c>
      <c r="D302" s="8">
        <f t="shared" si="8"/>
        <v>237.40488079663328</v>
      </c>
      <c r="E302" s="6">
        <f t="shared" si="9"/>
        <v>4.0862790274661887E-2</v>
      </c>
      <c r="F302" s="7">
        <f>(1+E302)/(1+'inflation-monthly'!D302)-1</f>
        <v>3.8413575984476145E-2</v>
      </c>
    </row>
    <row r="303" spans="2:6" x14ac:dyDescent="0.2">
      <c r="B303" s="4">
        <v>40178</v>
      </c>
      <c r="C303" s="8">
        <f>2796.035*(1/291.613*100)</f>
        <v>958.81699375542235</v>
      </c>
      <c r="D303" s="8">
        <f t="shared" si="8"/>
        <v>241.5011670709261</v>
      </c>
      <c r="E303" s="6">
        <f t="shared" si="9"/>
        <v>1.7957106533193157E-2</v>
      </c>
      <c r="F303" s="7">
        <f>(1+E303)/(1+'inflation-monthly'!D303)-1</f>
        <v>1.7254431587705232E-2</v>
      </c>
    </row>
    <row r="304" spans="2:6" x14ac:dyDescent="0.2">
      <c r="B304" s="4">
        <v>40207</v>
      </c>
      <c r="C304" s="8">
        <f>2680.472*(1/291.613*100)</f>
        <v>919.18810203934675</v>
      </c>
      <c r="D304" s="8">
        <f t="shared" si="8"/>
        <v>232.63880919999022</v>
      </c>
      <c r="E304" s="6">
        <f t="shared" si="9"/>
        <v>-4.1331027687421473E-2</v>
      </c>
      <c r="F304" s="7">
        <f>(1+E304)/(1+'inflation-monthly'!D304)-1</f>
        <v>-3.6696956699729388E-2</v>
      </c>
    </row>
    <row r="305" spans="2:6" x14ac:dyDescent="0.2">
      <c r="B305" s="4">
        <v>40235</v>
      </c>
      <c r="C305" s="8">
        <f>2718.258*(1/291.613*100)</f>
        <v>932.14568623483854</v>
      </c>
      <c r="D305" s="8">
        <f t="shared" si="8"/>
        <v>235.83900422120365</v>
      </c>
      <c r="E305" s="6">
        <f t="shared" si="9"/>
        <v>1.4096771016447684E-2</v>
      </c>
      <c r="F305" s="7">
        <f>(1+E305)/(1+'inflation-monthly'!D305)-1</f>
        <v>1.3756066892787189E-2</v>
      </c>
    </row>
    <row r="306" spans="2:6" x14ac:dyDescent="0.2">
      <c r="B306" s="4">
        <v>40268</v>
      </c>
      <c r="C306" s="8">
        <f>2886.601*(1/291.613*100)</f>
        <v>989.87390822768532</v>
      </c>
      <c r="D306" s="8">
        <f t="shared" si="8"/>
        <v>247.57189096794963</v>
      </c>
      <c r="E306" s="6">
        <f t="shared" si="9"/>
        <v>6.1930471647650975E-2</v>
      </c>
      <c r="F306" s="7">
        <f>(1+E306)/(1+'inflation-monthly'!D306)-1</f>
        <v>4.9749560237038581E-2</v>
      </c>
    </row>
    <row r="307" spans="2:6" x14ac:dyDescent="0.2">
      <c r="B307" s="4">
        <v>40298</v>
      </c>
      <c r="C307" s="8">
        <f>2887.006*(1/291.613*100)</f>
        <v>990.01279092495872</v>
      </c>
      <c r="D307" s="8">
        <f t="shared" si="8"/>
        <v>246.60298815416061</v>
      </c>
      <c r="E307" s="6">
        <f t="shared" si="9"/>
        <v>1.4030342260662465E-4</v>
      </c>
      <c r="F307" s="7">
        <f>(1+E307)/(1+'inflation-monthly'!D307)-1</f>
        <v>-3.9136220594382376E-3</v>
      </c>
    </row>
    <row r="308" spans="2:6" x14ac:dyDescent="0.2">
      <c r="B308" s="4">
        <v>40329</v>
      </c>
      <c r="C308" s="8">
        <f>2610.465*(1/291.613*100)</f>
        <v>895.18128478497192</v>
      </c>
      <c r="D308" s="8">
        <f t="shared" si="8"/>
        <v>222.67967872586041</v>
      </c>
      <c r="E308" s="6">
        <f t="shared" si="9"/>
        <v>-9.5788162546250222E-2</v>
      </c>
      <c r="F308" s="7">
        <f>(1+E308)/(1+'inflation-monthly'!D308)-1</f>
        <v>-9.701143367064502E-2</v>
      </c>
    </row>
    <row r="309" spans="2:6" x14ac:dyDescent="0.2">
      <c r="B309" s="4">
        <v>40359</v>
      </c>
      <c r="C309" s="8">
        <f>2520.962*(1/291.613*100)</f>
        <v>864.48889452802166</v>
      </c>
      <c r="D309" s="8">
        <f t="shared" si="8"/>
        <v>214.63556888172204</v>
      </c>
      <c r="E309" s="6">
        <f t="shared" si="9"/>
        <v>-3.4286228698718557E-2</v>
      </c>
      <c r="F309" s="7">
        <f>(1+E309)/(1+'inflation-monthly'!D309)-1</f>
        <v>-3.6124130815014421E-2</v>
      </c>
    </row>
    <row r="310" spans="2:6" x14ac:dyDescent="0.2">
      <c r="B310" s="4">
        <v>40389</v>
      </c>
      <c r="C310" s="8">
        <f>2725.344*(1/291.613*100)</f>
        <v>934.57561905676357</v>
      </c>
      <c r="D310" s="8">
        <f t="shared" si="8"/>
        <v>231.64266822659962</v>
      </c>
      <c r="E310" s="6">
        <f t="shared" si="9"/>
        <v>8.1073018950702291E-2</v>
      </c>
      <c r="F310" s="7">
        <f>(1+E310)/(1+'inflation-monthly'!D310)-1</f>
        <v>7.9237096784501748E-2</v>
      </c>
    </row>
    <row r="311" spans="2:6" x14ac:dyDescent="0.2">
      <c r="B311" s="4">
        <v>40421</v>
      </c>
      <c r="C311" s="8">
        <f>2623.593*(1/291.613*100)</f>
        <v>899.6831416980724</v>
      </c>
      <c r="D311" s="8">
        <f t="shared" si="8"/>
        <v>223.44011247485312</v>
      </c>
      <c r="E311" s="6">
        <f t="shared" si="9"/>
        <v>-3.7335103385114032E-2</v>
      </c>
      <c r="F311" s="7">
        <f>(1+E311)/(1+'inflation-monthly'!D311)-1</f>
        <v>-3.5410383650573918E-2</v>
      </c>
    </row>
    <row r="312" spans="2:6" x14ac:dyDescent="0.2">
      <c r="B312" s="4">
        <v>40451</v>
      </c>
      <c r="C312" s="8">
        <f>2868.232*(1/291.613*100)</f>
        <v>983.57480633579428</v>
      </c>
      <c r="D312" s="8">
        <f t="shared" si="8"/>
        <v>243.8289417470528</v>
      </c>
      <c r="E312" s="6">
        <f t="shared" si="9"/>
        <v>9.324578926685656E-2</v>
      </c>
      <c r="F312" s="7">
        <f>(1+E312)/(1+'inflation-monthly'!D312)-1</f>
        <v>9.1249637526450433E-2</v>
      </c>
    </row>
    <row r="313" spans="2:6" x14ac:dyDescent="0.2">
      <c r="B313" s="4">
        <v>40480</v>
      </c>
      <c r="C313" s="8">
        <f>2975.147*(1/291.613*100)</f>
        <v>1020.2381238147818</v>
      </c>
      <c r="D313" s="8">
        <f t="shared" si="8"/>
        <v>251.84306648887261</v>
      </c>
      <c r="E313" s="6">
        <f t="shared" si="9"/>
        <v>3.7275576034295765E-2</v>
      </c>
      <c r="F313" s="7">
        <f>(1+E313)/(1+'inflation-monthly'!D313)-1</f>
        <v>3.2867815790849075E-2</v>
      </c>
    </row>
    <row r="314" spans="2:6" x14ac:dyDescent="0.2">
      <c r="B314" s="4">
        <v>40512</v>
      </c>
      <c r="C314" s="8">
        <f>2910.915*(1/291.613*100)</f>
        <v>998.21167094745431</v>
      </c>
      <c r="D314" s="8">
        <f t="shared" si="8"/>
        <v>245.97427832287261</v>
      </c>
      <c r="E314" s="6">
        <f t="shared" si="9"/>
        <v>-2.1589521458939664E-2</v>
      </c>
      <c r="F314" s="7">
        <f>(1+E314)/(1+'inflation-monthly'!D314)-1</f>
        <v>-2.3303354139627697E-2</v>
      </c>
    </row>
    <row r="315" spans="2:6" x14ac:dyDescent="0.2">
      <c r="B315" s="4">
        <v>40543</v>
      </c>
      <c r="C315" s="8">
        <f>3124.941*(1/291.613*100)</f>
        <v>1071.6055182725049</v>
      </c>
      <c r="D315" s="8">
        <f t="shared" si="8"/>
        <v>263.28724278542194</v>
      </c>
      <c r="E315" s="6">
        <f t="shared" si="9"/>
        <v>7.3525334817402754E-2</v>
      </c>
      <c r="F315" s="7">
        <f>(1+E315)/(1+'inflation-monthly'!D315)-1</f>
        <v>7.0385263778775409E-2</v>
      </c>
    </row>
    <row r="316" spans="2:6" x14ac:dyDescent="0.2">
      <c r="B316" s="4">
        <v>40574</v>
      </c>
      <c r="C316" s="8">
        <f>3195.539*(1/291.613*100)</f>
        <v>1095.8150013888271</v>
      </c>
      <c r="D316" s="8">
        <f t="shared" si="8"/>
        <v>267.69473922347004</v>
      </c>
      <c r="E316" s="6">
        <f t="shared" si="9"/>
        <v>2.2591786532929925E-2</v>
      </c>
      <c r="F316" s="7">
        <f>(1+E316)/(1+'inflation-monthly'!D316)-1</f>
        <v>1.674025824958103E-2</v>
      </c>
    </row>
    <row r="317" spans="2:6" x14ac:dyDescent="0.2">
      <c r="B317" s="4">
        <v>40602</v>
      </c>
      <c r="C317" s="8">
        <f>3307.424*(1/291.613*100)</f>
        <v>1134.1826324615158</v>
      </c>
      <c r="D317" s="8">
        <f t="shared" si="8"/>
        <v>277.08200579046718</v>
      </c>
      <c r="E317" s="6">
        <f t="shared" si="9"/>
        <v>3.5012872632754544E-2</v>
      </c>
      <c r="F317" s="7">
        <f>(1+E317)/(1+'inflation-monthly'!D317)-1</f>
        <v>3.5067056581790768E-2</v>
      </c>
    </row>
    <row r="318" spans="2:6" x14ac:dyDescent="0.2">
      <c r="B318" s="4">
        <v>40633</v>
      </c>
      <c r="C318" s="8">
        <f>3274.807*(1/291.613*100)</f>
        <v>1122.9976029875211</v>
      </c>
      <c r="D318" s="8">
        <f t="shared" si="8"/>
        <v>270.00509710081116</v>
      </c>
      <c r="E318" s="6">
        <f t="shared" si="9"/>
        <v>-9.8617534371161497E-3</v>
      </c>
      <c r="F318" s="7">
        <f>(1+E318)/(1+'inflation-monthly'!D318)-1</f>
        <v>-2.5540845460053641E-2</v>
      </c>
    </row>
    <row r="319" spans="2:6" x14ac:dyDescent="0.2">
      <c r="B319" s="4">
        <v>40662</v>
      </c>
      <c r="C319" s="8">
        <f>3413.929*(1/291.613*100)</f>
        <v>1170.7053526420291</v>
      </c>
      <c r="D319" s="8">
        <f t="shared" si="8"/>
        <v>280.29525393797201</v>
      </c>
      <c r="E319" s="6">
        <f t="shared" si="9"/>
        <v>4.2482503549064354E-2</v>
      </c>
      <c r="F319" s="7">
        <f>(1+E319)/(1+'inflation-monthly'!D319)-1</f>
        <v>3.8110972524784792E-2</v>
      </c>
    </row>
    <row r="320" spans="2:6" x14ac:dyDescent="0.2">
      <c r="B320" s="4">
        <v>40694</v>
      </c>
      <c r="C320" s="8">
        <f>3343.106*(1/291.613*100)</f>
        <v>1146.4187124716661</v>
      </c>
      <c r="D320" s="8">
        <f t="shared" si="8"/>
        <v>274.62122712226972</v>
      </c>
      <c r="E320" s="6">
        <f t="shared" si="9"/>
        <v>-2.0745305482334442E-2</v>
      </c>
      <c r="F320" s="7">
        <f>(1+E320)/(1+'inflation-monthly'!D320)-1</f>
        <v>-2.0243035641830498E-2</v>
      </c>
    </row>
    <row r="321" spans="2:6" x14ac:dyDescent="0.2">
      <c r="B321" s="4">
        <v>40724</v>
      </c>
      <c r="C321" s="8">
        <f>3290.219*(1/291.613*100)</f>
        <v>1128.2826897291959</v>
      </c>
      <c r="D321" s="8">
        <f t="shared" si="8"/>
        <v>270.90483523823195</v>
      </c>
      <c r="E321" s="6">
        <f t="shared" si="9"/>
        <v>-1.5819719745649663E-2</v>
      </c>
      <c r="F321" s="7">
        <f>(1+E321)/(1+'inflation-monthly'!D321)-1</f>
        <v>-1.3532791776446063E-2</v>
      </c>
    </row>
    <row r="322" spans="2:6" x14ac:dyDescent="0.2">
      <c r="B322" s="4">
        <v>40753</v>
      </c>
      <c r="C322" s="8">
        <f>3230.56*(1/291.613*100)</f>
        <v>1107.8244111202175</v>
      </c>
      <c r="D322" s="8">
        <f t="shared" si="8"/>
        <v>266.19252941567487</v>
      </c>
      <c r="E322" s="6">
        <f t="shared" si="9"/>
        <v>-1.8132227672382983E-2</v>
      </c>
      <c r="F322" s="7">
        <f>(1+E322)/(1+'inflation-monthly'!D322)-1</f>
        <v>-1.7394690716439731E-2</v>
      </c>
    </row>
    <row r="323" spans="2:6" x14ac:dyDescent="0.2">
      <c r="B323" s="4">
        <v>40786</v>
      </c>
      <c r="C323" s="8">
        <f>3002.944*(1/291.613*100)</f>
        <v>1029.7702777311024</v>
      </c>
      <c r="D323" s="8">
        <f t="shared" si="8"/>
        <v>248.52675551907845</v>
      </c>
      <c r="E323" s="6">
        <f t="shared" si="9"/>
        <v>-7.0457134366797125E-2</v>
      </c>
      <c r="F323" s="7">
        <f>(1+E323)/(1+'inflation-monthly'!D323)-1</f>
        <v>-6.636464943390763E-2</v>
      </c>
    </row>
    <row r="324" spans="2:6" x14ac:dyDescent="0.2">
      <c r="B324" s="4">
        <v>40816</v>
      </c>
      <c r="C324" s="8">
        <f>2743.578*(1/291.613*100)</f>
        <v>940.82842671623007</v>
      </c>
      <c r="D324" s="8">
        <f t="shared" ref="D324:D387" si="10">D323*(1+F324)</f>
        <v>225.2248202254469</v>
      </c>
      <c r="E324" s="6">
        <f t="shared" si="9"/>
        <v>-8.6370575009057649E-2</v>
      </c>
      <c r="F324" s="7">
        <f>(1+E324)/(1+'inflation-monthly'!D324)-1</f>
        <v>-9.3760268366126609E-2</v>
      </c>
    </row>
    <row r="325" spans="2:6" x14ac:dyDescent="0.2">
      <c r="B325" s="4">
        <v>40847</v>
      </c>
      <c r="C325" s="8">
        <f>3027.365*(1/291.613*100)</f>
        <v>1038.1447329165708</v>
      </c>
      <c r="D325" s="8">
        <f t="shared" si="10"/>
        <v>245.93711179457989</v>
      </c>
      <c r="E325" s="6">
        <f t="shared" ref="E325:E388" si="11">C325/C324-1</f>
        <v>0.1034368259258529</v>
      </c>
      <c r="F325" s="7">
        <f>(1+E325)/(1+'inflation-monthly'!D325)-1</f>
        <v>9.1962739934258853E-2</v>
      </c>
    </row>
    <row r="326" spans="2:6" x14ac:dyDescent="0.2">
      <c r="B326" s="4">
        <v>40877</v>
      </c>
      <c r="C326" s="8">
        <f>2953.45*(1/291.613*100)</f>
        <v>1012.7977833635674</v>
      </c>
      <c r="D326" s="8">
        <f t="shared" si="10"/>
        <v>240.1224239271111</v>
      </c>
      <c r="E326" s="6">
        <f t="shared" si="11"/>
        <v>-2.4415622166471418E-2</v>
      </c>
      <c r="F326" s="7">
        <f>(1+E326)/(1+'inflation-monthly'!D326)-1</f>
        <v>-2.3642986717374859E-2</v>
      </c>
    </row>
    <row r="327" spans="2:6" x14ac:dyDescent="0.2">
      <c r="B327" s="4">
        <v>40907</v>
      </c>
      <c r="C327" s="8">
        <f>2951.809*(1/291.613*100)</f>
        <v>1012.2350512494299</v>
      </c>
      <c r="D327" s="8">
        <f t="shared" si="10"/>
        <v>240.03043981998849</v>
      </c>
      <c r="E327" s="6">
        <f t="shared" si="11"/>
        <v>-5.5562139193132687E-4</v>
      </c>
      <c r="F327" s="7">
        <f>(1+E327)/(1+'inflation-monthly'!D327)-1</f>
        <v>-3.8307170824880554E-4</v>
      </c>
    </row>
    <row r="328" spans="2:6" x14ac:dyDescent="0.2">
      <c r="B328" s="4">
        <v>40939</v>
      </c>
      <c r="C328" s="8">
        <f>3099.94*(1/291.613*100)</f>
        <v>1063.0321693477315</v>
      </c>
      <c r="D328" s="8">
        <f t="shared" si="10"/>
        <v>250.87856153079585</v>
      </c>
      <c r="E328" s="6">
        <f t="shared" si="11"/>
        <v>5.0183124992165817E-2</v>
      </c>
      <c r="F328" s="7">
        <f>(1+E328)/(1+'inflation-monthly'!D328)-1</f>
        <v>4.519477495830504E-2</v>
      </c>
    </row>
    <row r="329" spans="2:6" x14ac:dyDescent="0.2">
      <c r="B329" s="4">
        <v>40968</v>
      </c>
      <c r="C329" s="8">
        <f>3251.368*(1/291.613*100)</f>
        <v>1114.9598954779108</v>
      </c>
      <c r="D329" s="8">
        <f t="shared" si="10"/>
        <v>262.92109050450705</v>
      </c>
      <c r="E329" s="6">
        <f t="shared" si="11"/>
        <v>4.8848687393949541E-2</v>
      </c>
      <c r="F329" s="7">
        <f>(1+E329)/(1+'inflation-monthly'!D329)-1</f>
        <v>4.8001427065871294E-2</v>
      </c>
    </row>
    <row r="330" spans="2:6" x14ac:dyDescent="0.2">
      <c r="B330" s="4">
        <v>40998</v>
      </c>
      <c r="C330" s="8">
        <f>3293.169*(1/291.613*100)</f>
        <v>1129.2943044377307</v>
      </c>
      <c r="D330" s="8">
        <f t="shared" si="10"/>
        <v>263.23113888662266</v>
      </c>
      <c r="E330" s="6">
        <f t="shared" si="11"/>
        <v>1.2856434583842669E-2</v>
      </c>
      <c r="F330" s="7">
        <f>(1+E330)/(1+'inflation-monthly'!D330)-1</f>
        <v>1.1792450028282886E-3</v>
      </c>
    </row>
    <row r="331" spans="2:6" x14ac:dyDescent="0.2">
      <c r="B331" s="4">
        <v>41029</v>
      </c>
      <c r="C331" s="8">
        <f>3255.772*(1/291.613*100)</f>
        <v>1116.4701162156693</v>
      </c>
      <c r="D331" s="8">
        <f t="shared" si="10"/>
        <v>259.51142745477875</v>
      </c>
      <c r="E331" s="6">
        <f t="shared" si="11"/>
        <v>-1.1355931019634835E-2</v>
      </c>
      <c r="F331" s="7">
        <f>(1+E331)/(1+'inflation-monthly'!D331)-1</f>
        <v>-1.4130970399539478E-2</v>
      </c>
    </row>
    <row r="332" spans="2:6" x14ac:dyDescent="0.2">
      <c r="B332" s="4">
        <v>41060</v>
      </c>
      <c r="C332" s="8">
        <f>2974.721*(1/291.613*100)</f>
        <v>1020.0920397924647</v>
      </c>
      <c r="D332" s="8">
        <f t="shared" si="10"/>
        <v>237.94307508683346</v>
      </c>
      <c r="E332" s="6">
        <f t="shared" si="11"/>
        <v>-8.6323919488219603E-2</v>
      </c>
      <c r="F332" s="7">
        <f>(1+E332)/(1+'inflation-monthly'!D332)-1</f>
        <v>-8.3111378097997957E-2</v>
      </c>
    </row>
    <row r="333" spans="2:6" x14ac:dyDescent="0.2">
      <c r="B333" s="4">
        <v>41089</v>
      </c>
      <c r="C333" s="8">
        <f>3126.299*(1/291.613*100)</f>
        <v>1072.0712039586713</v>
      </c>
      <c r="D333" s="8">
        <f t="shared" si="10"/>
        <v>250.6157647105407</v>
      </c>
      <c r="E333" s="6">
        <f t="shared" si="11"/>
        <v>5.0955366906678012E-2</v>
      </c>
      <c r="F333" s="7">
        <f>(1+E333)/(1+'inflation-monthly'!D333)-1</f>
        <v>5.3259333641386908E-2</v>
      </c>
    </row>
    <row r="334" spans="2:6" x14ac:dyDescent="0.2">
      <c r="B334" s="4">
        <v>41121</v>
      </c>
      <c r="C334" s="8">
        <f>3166.489*(1/291.613*100)</f>
        <v>1085.8531684115592</v>
      </c>
      <c r="D334" s="8">
        <f t="shared" si="10"/>
        <v>253.87820059666859</v>
      </c>
      <c r="E334" s="6">
        <f t="shared" si="11"/>
        <v>1.285545624394846E-2</v>
      </c>
      <c r="F334" s="7">
        <f>(1+E334)/(1+'inflation-monthly'!D334)-1</f>
        <v>1.3017680232111362E-2</v>
      </c>
    </row>
    <row r="335" spans="2:6" x14ac:dyDescent="0.2">
      <c r="B335" s="4">
        <v>41152</v>
      </c>
      <c r="C335" s="8">
        <f>3246.765*(1/291.613*100)</f>
        <v>1113.381433612356</v>
      </c>
      <c r="D335" s="8">
        <f t="shared" si="10"/>
        <v>260.68508749242324</v>
      </c>
      <c r="E335" s="6">
        <f t="shared" si="11"/>
        <v>2.535173815541425E-2</v>
      </c>
      <c r="F335" s="7">
        <f>(1+E335)/(1+'inflation-monthly'!D335)-1</f>
        <v>2.681162415582361E-2</v>
      </c>
    </row>
    <row r="336" spans="2:6" x14ac:dyDescent="0.2">
      <c r="B336" s="4">
        <v>41180</v>
      </c>
      <c r="C336" s="8">
        <f>3335.965*(1/291.613*100)</f>
        <v>1143.9699190365313</v>
      </c>
      <c r="D336" s="8">
        <f t="shared" si="10"/>
        <v>266.18697426764584</v>
      </c>
      <c r="E336" s="6">
        <f t="shared" si="11"/>
        <v>2.747350054592812E-2</v>
      </c>
      <c r="F336" s="7">
        <f>(1+E336)/(1+'inflation-monthly'!D336)-1</f>
        <v>2.1105491028068579E-2</v>
      </c>
    </row>
    <row r="337" spans="2:6" x14ac:dyDescent="0.2">
      <c r="B337" s="4">
        <v>41213</v>
      </c>
      <c r="C337" s="8">
        <f>3313.422*(1/291.613*100)</f>
        <v>1136.2394680621235</v>
      </c>
      <c r="D337" s="8">
        <f t="shared" si="10"/>
        <v>263.56084983979821</v>
      </c>
      <c r="E337" s="6">
        <f t="shared" si="11"/>
        <v>-6.7575649025094497E-3</v>
      </c>
      <c r="F337" s="7">
        <f>(1+E337)/(1+'inflation-monthly'!D337)-1</f>
        <v>-9.8657135086073211E-3</v>
      </c>
    </row>
    <row r="338" spans="2:6" x14ac:dyDescent="0.2">
      <c r="B338" s="4">
        <v>41243</v>
      </c>
      <c r="C338" s="8">
        <f>3355.85*(1/291.613*100)</f>
        <v>1150.7888880125372</v>
      </c>
      <c r="D338" s="8">
        <f t="shared" si="10"/>
        <v>267.77896862410961</v>
      </c>
      <c r="E338" s="6">
        <f t="shared" si="11"/>
        <v>1.2804888722293795E-2</v>
      </c>
      <c r="F338" s="7">
        <f>(1+E338)/(1+'inflation-monthly'!D338)-1</f>
        <v>1.6004345056844782E-2</v>
      </c>
    </row>
    <row r="339" spans="2:6" x14ac:dyDescent="0.2">
      <c r="B339" s="4">
        <v>41274</v>
      </c>
      <c r="C339" s="8">
        <f>3418.961*(1/291.613*100)</f>
        <v>1172.4309272906214</v>
      </c>
      <c r="D339" s="8">
        <f t="shared" si="10"/>
        <v>272.78227896280413</v>
      </c>
      <c r="E339" s="6">
        <f t="shared" si="11"/>
        <v>1.8806263688782243E-2</v>
      </c>
      <c r="F339" s="7">
        <f>(1+E339)/(1+'inflation-monthly'!D339)-1</f>
        <v>1.8684478338244048E-2</v>
      </c>
    </row>
    <row r="340" spans="2:6" x14ac:dyDescent="0.2">
      <c r="B340" s="4">
        <v>41305</v>
      </c>
      <c r="C340" s="8">
        <f>3593.121*(1/291.613*100)</f>
        <v>1232.153916320603</v>
      </c>
      <c r="D340" s="8">
        <f t="shared" si="10"/>
        <v>290.28425799851692</v>
      </c>
      <c r="E340" s="6">
        <f t="shared" si="11"/>
        <v>5.0939452073305302E-2</v>
      </c>
      <c r="F340" s="7">
        <f>(1+E340)/(1+'inflation-monthly'!D340)-1</f>
        <v>6.4160982532517563E-2</v>
      </c>
    </row>
    <row r="341" spans="2:6" x14ac:dyDescent="0.2">
      <c r="B341" s="4">
        <v>41333</v>
      </c>
      <c r="C341" s="8">
        <f>3599.054*(1/291.613*100)</f>
        <v>1234.1884621055988</v>
      </c>
      <c r="D341" s="8">
        <f t="shared" si="10"/>
        <v>291.11305298136875</v>
      </c>
      <c r="E341" s="6">
        <f t="shared" si="11"/>
        <v>1.651210744085585E-3</v>
      </c>
      <c r="F341" s="7">
        <f>(1+E341)/(1+'inflation-monthly'!D341)-1</f>
        <v>2.8551151501163829E-3</v>
      </c>
    </row>
    <row r="342" spans="2:6" x14ac:dyDescent="0.2">
      <c r="B342" s="4">
        <v>41362</v>
      </c>
      <c r="C342" s="8">
        <f>3683.356*(1/291.613*100)</f>
        <v>1263.0973241933659</v>
      </c>
      <c r="D342" s="8">
        <f t="shared" si="10"/>
        <v>293.08875310935349</v>
      </c>
      <c r="E342" s="6">
        <f t="shared" si="11"/>
        <v>2.3423377365274334E-2</v>
      </c>
      <c r="F342" s="7">
        <f>(1+E342)/(1+'inflation-monthly'!D342)-1</f>
        <v>6.7867108937611498E-3</v>
      </c>
    </row>
    <row r="343" spans="2:6" x14ac:dyDescent="0.2">
      <c r="B343" s="4">
        <v>41394</v>
      </c>
      <c r="C343" s="8">
        <f>3799.348*(1/291.613*100)</f>
        <v>1302.8733286924794</v>
      </c>
      <c r="D343" s="8">
        <f t="shared" si="10"/>
        <v>302.28516586546812</v>
      </c>
      <c r="E343" s="6">
        <f t="shared" si="11"/>
        <v>3.1490846934154604E-2</v>
      </c>
      <c r="F343" s="7">
        <f>(1+E343)/(1+'inflation-monthly'!D343)-1</f>
        <v>3.1377569622002444E-2</v>
      </c>
    </row>
    <row r="344" spans="2:6" x14ac:dyDescent="0.2">
      <c r="B344" s="4">
        <v>41425</v>
      </c>
      <c r="C344" s="8">
        <f>3800.783*(1/291.613*100)</f>
        <v>1303.3654192371396</v>
      </c>
      <c r="D344" s="8">
        <f t="shared" si="10"/>
        <v>301.88336388562982</v>
      </c>
      <c r="E344" s="6">
        <f t="shared" si="11"/>
        <v>3.7769638369522518E-4</v>
      </c>
      <c r="F344" s="7">
        <f>(1+E344)/(1+'inflation-monthly'!D344)-1</f>
        <v>-1.3292150102300893E-3</v>
      </c>
    </row>
    <row r="345" spans="2:6" x14ac:dyDescent="0.2">
      <c r="B345" s="4">
        <v>41453</v>
      </c>
      <c r="C345" s="8">
        <f>3707.13*(1/291.613*100)</f>
        <v>1271.249909983437</v>
      </c>
      <c r="D345" s="8">
        <f t="shared" si="10"/>
        <v>294.29318216320979</v>
      </c>
      <c r="E345" s="6">
        <f t="shared" si="11"/>
        <v>-2.4640449086411831E-2</v>
      </c>
      <c r="F345" s="7">
        <f>(1+E345)/(1+'inflation-monthly'!D345)-1</f>
        <v>-2.5142762505109828E-2</v>
      </c>
    </row>
    <row r="346" spans="2:6" x14ac:dyDescent="0.2">
      <c r="B346" s="4">
        <v>41486</v>
      </c>
      <c r="C346" s="8">
        <f>3902.295*(1/291.613*100)</f>
        <v>1338.1759386584274</v>
      </c>
      <c r="D346" s="8">
        <f t="shared" si="10"/>
        <v>310.51896522749854</v>
      </c>
      <c r="E346" s="6">
        <f t="shared" si="11"/>
        <v>5.2645847326638018E-2</v>
      </c>
      <c r="F346" s="7">
        <f>(1+E346)/(1+'inflation-monthly'!D346)-1</f>
        <v>5.5134756928518325E-2</v>
      </c>
    </row>
    <row r="347" spans="2:6" x14ac:dyDescent="0.2">
      <c r="B347" s="4">
        <v>41516</v>
      </c>
      <c r="C347" s="8">
        <f>3819.235*(1/291.613*100)</f>
        <v>1309.6929835089657</v>
      </c>
      <c r="D347" s="8">
        <f t="shared" si="10"/>
        <v>306.17943145606091</v>
      </c>
      <c r="E347" s="6">
        <f t="shared" si="11"/>
        <v>-2.1284910546229829E-2</v>
      </c>
      <c r="F347" s="7">
        <f>(1+E347)/(1+'inflation-monthly'!D347)-1</f>
        <v>-1.3975100581242517E-2</v>
      </c>
    </row>
    <row r="348" spans="2:6" x14ac:dyDescent="0.2">
      <c r="B348" s="4">
        <v>41547</v>
      </c>
      <c r="C348" s="8">
        <f>4010.245*(1/291.613*100)</f>
        <v>1375.1941785860026</v>
      </c>
      <c r="D348" s="8">
        <f t="shared" si="10"/>
        <v>319.62039987464777</v>
      </c>
      <c r="E348" s="6">
        <f t="shared" si="11"/>
        <v>5.0012633420043473E-2</v>
      </c>
      <c r="F348" s="7">
        <f>(1+E348)/(1+'inflation-monthly'!D348)-1</f>
        <v>4.3898992021336181E-2</v>
      </c>
    </row>
    <row r="349" spans="2:6" x14ac:dyDescent="0.2">
      <c r="B349" s="4">
        <v>41578</v>
      </c>
      <c r="C349" s="8">
        <f>4167.22*(1/291.613*100)</f>
        <v>1429.0240832884679</v>
      </c>
      <c r="D349" s="8">
        <f t="shared" si="10"/>
        <v>332.29353373486987</v>
      </c>
      <c r="E349" s="6">
        <f t="shared" si="11"/>
        <v>3.9143493726692569E-2</v>
      </c>
      <c r="F349" s="7">
        <f>(1+E349)/(1+'inflation-monthly'!D349)-1</f>
        <v>3.9650578827860716E-2</v>
      </c>
    </row>
    <row r="350" spans="2:6" x14ac:dyDescent="0.2">
      <c r="B350" s="4">
        <v>41607</v>
      </c>
      <c r="C350" s="8">
        <f>4241.278*(1/291.613*100)</f>
        <v>1454.4200704358175</v>
      </c>
      <c r="D350" s="8">
        <f t="shared" si="10"/>
        <v>338.95154704369475</v>
      </c>
      <c r="E350" s="6">
        <f t="shared" si="11"/>
        <v>1.7771559936840431E-2</v>
      </c>
      <c r="F350" s="7">
        <f>(1+E350)/(1+'inflation-monthly'!D350)-1</f>
        <v>2.003654189111348E-2</v>
      </c>
    </row>
    <row r="351" spans="2:6" x14ac:dyDescent="0.2">
      <c r="B351" s="4">
        <v>41639</v>
      </c>
      <c r="C351" s="8">
        <f>4331.022*(1/291.613*100)</f>
        <v>1485.1951044706511</v>
      </c>
      <c r="D351" s="8">
        <f t="shared" si="10"/>
        <v>344.87770069966263</v>
      </c>
      <c r="E351" s="6">
        <f t="shared" si="11"/>
        <v>2.1159659894965488E-2</v>
      </c>
      <c r="F351" s="7">
        <f>(1+E351)/(1+'inflation-monthly'!D351)-1</f>
        <v>1.7483778161378138E-2</v>
      </c>
    </row>
    <row r="352" spans="2:6" x14ac:dyDescent="0.2">
      <c r="B352" s="4">
        <v>41670</v>
      </c>
      <c r="C352" s="8">
        <f>4170.608*(1/291.613*100)</f>
        <v>1430.1858970622022</v>
      </c>
      <c r="D352" s="8">
        <f t="shared" si="10"/>
        <v>336.74171879355208</v>
      </c>
      <c r="E352" s="6">
        <f t="shared" si="11"/>
        <v>-3.7038371081929422E-2</v>
      </c>
      <c r="F352" s="7">
        <f>(1+E352)/(1+'inflation-monthly'!D352)-1</f>
        <v>-2.3590919011594158E-2</v>
      </c>
    </row>
    <row r="353" spans="2:6" x14ac:dyDescent="0.2">
      <c r="B353" s="4">
        <v>41698</v>
      </c>
      <c r="C353" s="8">
        <f>4379.393*(1/291.613*100)</f>
        <v>1501.7824994084626</v>
      </c>
      <c r="D353" s="8">
        <f t="shared" si="10"/>
        <v>354.52516844535285</v>
      </c>
      <c r="E353" s="6">
        <f t="shared" si="11"/>
        <v>5.0061046255126529E-2</v>
      </c>
      <c r="F353" s="7">
        <f>(1+E353)/(1+'inflation-monthly'!D353)-1</f>
        <v>5.2810354818861427E-2</v>
      </c>
    </row>
    <row r="354" spans="2:6" x14ac:dyDescent="0.2">
      <c r="B354" s="4">
        <v>41729</v>
      </c>
      <c r="C354" s="8">
        <f>4385.731*(1/291.613*100)</f>
        <v>1503.9559278907318</v>
      </c>
      <c r="D354" s="8">
        <f t="shared" si="10"/>
        <v>350.25815749234897</v>
      </c>
      <c r="E354" s="6">
        <f t="shared" si="11"/>
        <v>1.4472325274301756E-3</v>
      </c>
      <c r="F354" s="7">
        <f>(1+E354)/(1+'inflation-monthly'!D354)-1</f>
        <v>-1.2035847755789475E-2</v>
      </c>
    </row>
    <row r="355" spans="2:6" x14ac:dyDescent="0.2">
      <c r="B355" s="4">
        <v>41759</v>
      </c>
      <c r="C355" s="8">
        <f>4430.671*(1/291.613*100)</f>
        <v>1519.3667634844812</v>
      </c>
      <c r="D355" s="8">
        <f t="shared" si="10"/>
        <v>353.0127119994774</v>
      </c>
      <c r="E355" s="6">
        <f t="shared" si="11"/>
        <v>1.0246866485883466E-2</v>
      </c>
      <c r="F355" s="7">
        <f>(1+E355)/(1+'inflation-monthly'!D355)-1</f>
        <v>7.8643550427190956E-3</v>
      </c>
    </row>
    <row r="356" spans="2:6" x14ac:dyDescent="0.2">
      <c r="B356" s="4">
        <v>41789</v>
      </c>
      <c r="C356" s="8">
        <f>4517.844*(1/291.613*100)</f>
        <v>1549.2601495818087</v>
      </c>
      <c r="D356" s="8">
        <f t="shared" si="10"/>
        <v>360.41730089566414</v>
      </c>
      <c r="E356" s="6">
        <f t="shared" si="11"/>
        <v>1.9674898000776819E-2</v>
      </c>
      <c r="F356" s="7">
        <f>(1+E356)/(1+'inflation-monthly'!D356)-1</f>
        <v>2.0975417157775622E-2</v>
      </c>
    </row>
    <row r="357" spans="2:6" x14ac:dyDescent="0.2">
      <c r="B357" s="4">
        <v>41820</v>
      </c>
      <c r="C357" s="8">
        <f>4598.664*(1/291.613*100)</f>
        <v>1576.9749633932643</v>
      </c>
      <c r="D357" s="8">
        <f t="shared" si="10"/>
        <v>366.60555278457491</v>
      </c>
      <c r="E357" s="6">
        <f t="shared" si="11"/>
        <v>1.7889063898620661E-2</v>
      </c>
      <c r="F357" s="7">
        <f>(1+E357)/(1+'inflation-monthly'!D357)-1</f>
        <v>1.7169686009890439E-2</v>
      </c>
    </row>
    <row r="358" spans="2:6" x14ac:dyDescent="0.2">
      <c r="B358" s="4">
        <v>41851</v>
      </c>
      <c r="C358" s="8">
        <f>4525.273*(1/291.613*100)</f>
        <v>1551.807704046116</v>
      </c>
      <c r="D358" s="8">
        <f t="shared" si="10"/>
        <v>363.26092011783919</v>
      </c>
      <c r="E358" s="6">
        <f t="shared" si="11"/>
        <v>-1.5959200324268008E-2</v>
      </c>
      <c r="F358" s="7">
        <f>(1+E358)/(1+'inflation-monthly'!D358)-1</f>
        <v>-9.1232460646909486E-3</v>
      </c>
    </row>
    <row r="359" spans="2:6" x14ac:dyDescent="0.2">
      <c r="B359" s="4">
        <v>41880</v>
      </c>
      <c r="C359" s="8">
        <f>4624.988*(1/291.613*100)</f>
        <v>1586.0019957957979</v>
      </c>
      <c r="D359" s="8">
        <f t="shared" si="10"/>
        <v>372.11218344635142</v>
      </c>
      <c r="E359" s="6">
        <f t="shared" si="11"/>
        <v>2.2035134675852719E-2</v>
      </c>
      <c r="F359" s="7">
        <f>(1+E359)/(1+'inflation-monthly'!D359)-1</f>
        <v>2.4366131445245909E-2</v>
      </c>
    </row>
    <row r="360" spans="2:6" x14ac:dyDescent="0.2">
      <c r="B360" s="4">
        <v>41912</v>
      </c>
      <c r="C360" s="8">
        <f>4499.461*(1/291.613*100)</f>
        <v>1542.9562468065553</v>
      </c>
      <c r="D360" s="8">
        <f t="shared" si="10"/>
        <v>359.95486503376361</v>
      </c>
      <c r="E360" s="6">
        <f t="shared" si="11"/>
        <v>-2.7141043392977515E-2</v>
      </c>
      <c r="F360" s="7">
        <f>(1+E360)/(1+'inflation-monthly'!D360)-1</f>
        <v>-3.2671110899921807E-2</v>
      </c>
    </row>
    <row r="361" spans="2:6" x14ac:dyDescent="0.2">
      <c r="B361" s="4">
        <v>41943</v>
      </c>
      <c r="C361" s="8">
        <f>4528.568*(1/291.613*100)</f>
        <v>1552.9376262375135</v>
      </c>
      <c r="D361" s="8">
        <f t="shared" si="10"/>
        <v>361.09295618544292</v>
      </c>
      <c r="E361" s="6">
        <f t="shared" si="11"/>
        <v>6.4689970643150296E-3</v>
      </c>
      <c r="F361" s="7">
        <f>(1+E361)/(1+'inflation-monthly'!D361)-1</f>
        <v>3.1617607156735339E-3</v>
      </c>
    </row>
    <row r="362" spans="2:6" x14ac:dyDescent="0.2">
      <c r="B362" s="4">
        <v>41971</v>
      </c>
      <c r="C362" s="8">
        <f>4619.324*(1/291.613*100)</f>
        <v>1584.0596955554106</v>
      </c>
      <c r="D362" s="8">
        <f t="shared" si="10"/>
        <v>369.09397636338502</v>
      </c>
      <c r="E362" s="6">
        <f t="shared" si="11"/>
        <v>2.0040772270615959E-2</v>
      </c>
      <c r="F362" s="7">
        <f>(1+E362)/(1+'inflation-monthly'!D362)-1</f>
        <v>2.2157785248608119E-2</v>
      </c>
    </row>
    <row r="363" spans="2:6" x14ac:dyDescent="0.2">
      <c r="B363" s="4">
        <v>42004</v>
      </c>
      <c r="C363" s="8">
        <f>4544.837*(1/291.613*100)</f>
        <v>1558.5165956250237</v>
      </c>
      <c r="D363" s="8">
        <f t="shared" si="10"/>
        <v>363.2003132949074</v>
      </c>
      <c r="E363" s="6">
        <f t="shared" si="11"/>
        <v>-1.612508670099766E-2</v>
      </c>
      <c r="F363" s="7">
        <f>(1+E363)/(1+'inflation-monthly'!D363)-1</f>
        <v>-1.5967919949674614E-2</v>
      </c>
    </row>
    <row r="364" spans="2:6" x14ac:dyDescent="0.2">
      <c r="B364" s="4">
        <v>42034</v>
      </c>
      <c r="C364" s="8">
        <f>4462.486*(1/291.613*100)</f>
        <v>1530.2767709258503</v>
      </c>
      <c r="D364" s="8">
        <f t="shared" si="10"/>
        <v>361.73084110333508</v>
      </c>
      <c r="E364" s="6">
        <f t="shared" si="11"/>
        <v>-1.8119681739961258E-2</v>
      </c>
      <c r="F364" s="7">
        <f>(1+E364)/(1+'inflation-monthly'!D364)-1</f>
        <v>-4.0459001211795576E-3</v>
      </c>
    </row>
    <row r="365" spans="2:6" x14ac:dyDescent="0.2">
      <c r="B365" s="4">
        <v>42062</v>
      </c>
      <c r="C365" s="8">
        <f>4723.937*(1/291.613*100)</f>
        <v>1619.9336106415008</v>
      </c>
      <c r="D365" s="8">
        <f t="shared" si="10"/>
        <v>383.2112362059197</v>
      </c>
      <c r="E365" s="6">
        <f t="shared" si="11"/>
        <v>5.8588643191261447E-2</v>
      </c>
      <c r="F365" s="7">
        <f>(1+E365)/(1+'inflation-monthly'!D365)-1</f>
        <v>5.938226068052721E-2</v>
      </c>
    </row>
    <row r="366" spans="2:6" x14ac:dyDescent="0.2">
      <c r="B366" s="4">
        <v>42094</v>
      </c>
      <c r="C366" s="8">
        <f>4649.991*(1/291.613*100)</f>
        <v>1594.5760305610518</v>
      </c>
      <c r="D366" s="8">
        <f t="shared" si="10"/>
        <v>370.21456959680557</v>
      </c>
      <c r="E366" s="6">
        <f t="shared" si="11"/>
        <v>-1.5653468706293028E-2</v>
      </c>
      <c r="F366" s="7">
        <f>(1+E366)/(1+'inflation-monthly'!D366)-1</f>
        <v>-3.3915150134403493E-2</v>
      </c>
    </row>
    <row r="367" spans="2:6" x14ac:dyDescent="0.2">
      <c r="B367" s="4">
        <v>42124</v>
      </c>
      <c r="C367" s="8">
        <f>4759.045*(1/291.613*100)</f>
        <v>1631.9728544337872</v>
      </c>
      <c r="D367" s="8">
        <f t="shared" si="10"/>
        <v>377.67305075377942</v>
      </c>
      <c r="E367" s="6">
        <f t="shared" si="11"/>
        <v>2.3452518510250986E-2</v>
      </c>
      <c r="F367" s="7">
        <f>(1+E367)/(1+'inflation-monthly'!D367)-1</f>
        <v>2.0146373939569084E-2</v>
      </c>
    </row>
    <row r="368" spans="2:6" x14ac:dyDescent="0.2">
      <c r="B368" s="4">
        <v>42153</v>
      </c>
      <c r="C368" s="8">
        <f>4775.439*(1/291.613*100)</f>
        <v>1637.5946888513201</v>
      </c>
      <c r="D368" s="8">
        <f t="shared" si="10"/>
        <v>377.3657161087603</v>
      </c>
      <c r="E368" s="6">
        <f t="shared" si="11"/>
        <v>3.4448087799128224E-3</v>
      </c>
      <c r="F368" s="7">
        <f>(1+E368)/(1+'inflation-monthly'!D368)-1</f>
        <v>-8.1375847285303227E-4</v>
      </c>
    </row>
    <row r="369" spans="2:6" x14ac:dyDescent="0.2">
      <c r="B369" s="4">
        <v>42185</v>
      </c>
      <c r="C369" s="8">
        <f>4664.399*(1/291.613*100)</f>
        <v>1599.5168253815846</v>
      </c>
      <c r="D369" s="8">
        <f t="shared" si="10"/>
        <v>368.88590811398507</v>
      </c>
      <c r="E369" s="6">
        <f t="shared" si="11"/>
        <v>-2.3252312509907447E-2</v>
      </c>
      <c r="F369" s="7">
        <f>(1+E369)/(1+'inflation-monthly'!D369)-1</f>
        <v>-2.2471060917286123E-2</v>
      </c>
    </row>
    <row r="370" spans="2:6" x14ac:dyDescent="0.2">
      <c r="B370" s="4">
        <v>42216</v>
      </c>
      <c r="C370" s="8">
        <f>4748.125*(1/291.613*100)</f>
        <v>1628.228165411007</v>
      </c>
      <c r="D370" s="8">
        <f t="shared" si="10"/>
        <v>378.24944188007328</v>
      </c>
      <c r="E370" s="6">
        <f t="shared" si="11"/>
        <v>1.7950008136096374E-2</v>
      </c>
      <c r="F370" s="7">
        <f>(1+E370)/(1+'inflation-monthly'!D370)-1</f>
        <v>2.5383278569684142E-2</v>
      </c>
    </row>
    <row r="371" spans="2:6" x14ac:dyDescent="0.2">
      <c r="B371" s="4">
        <v>42247</v>
      </c>
      <c r="C371" s="8">
        <f>4433.92*(1/291.613*100)</f>
        <v>1520.4809113448302</v>
      </c>
      <c r="D371" s="8">
        <f t="shared" si="10"/>
        <v>354.40711240385656</v>
      </c>
      <c r="E371" s="6">
        <f t="shared" si="11"/>
        <v>-6.6174542582598361E-2</v>
      </c>
      <c r="F371" s="7">
        <f>(1+E371)/(1+'inflation-monthly'!D371)-1</f>
        <v>-6.3033350049928383E-2</v>
      </c>
    </row>
    <row r="372" spans="2:6" x14ac:dyDescent="0.2">
      <c r="B372" s="4">
        <v>42277</v>
      </c>
      <c r="C372" s="8">
        <f>4270.377*(1/291.613*100)</f>
        <v>1464.3987065048541</v>
      </c>
      <c r="D372" s="8">
        <f t="shared" si="10"/>
        <v>338.66453353805741</v>
      </c>
      <c r="E372" s="6">
        <f t="shared" si="11"/>
        <v>-3.6884517537528749E-2</v>
      </c>
      <c r="F372" s="7">
        <f>(1+E372)/(1+'inflation-monthly'!D372)-1</f>
        <v>-4.441947781189004E-2</v>
      </c>
    </row>
    <row r="373" spans="2:6" x14ac:dyDescent="0.2">
      <c r="B373" s="4">
        <v>42307</v>
      </c>
      <c r="C373" s="8">
        <f>4608.78*(1/291.613*100)</f>
        <v>1580.4439445429387</v>
      </c>
      <c r="D373" s="8">
        <f t="shared" si="10"/>
        <v>365.17615959065631</v>
      </c>
      <c r="E373" s="6">
        <f t="shared" si="11"/>
        <v>7.9244291546156198E-2</v>
      </c>
      <c r="F373" s="7">
        <f>(1+E373)/(1+'inflation-monthly'!D373)-1</f>
        <v>7.8282853464546998E-2</v>
      </c>
    </row>
    <row r="374" spans="2:6" x14ac:dyDescent="0.2">
      <c r="B374" s="4">
        <v>42338</v>
      </c>
      <c r="C374" s="8">
        <f>4585.848*(1/291.613*100)</f>
        <v>1572.5800975951004</v>
      </c>
      <c r="D374" s="8">
        <f t="shared" si="10"/>
        <v>364.07622970229238</v>
      </c>
      <c r="E374" s="6">
        <f t="shared" si="11"/>
        <v>-4.9757202556858227E-3</v>
      </c>
      <c r="F374" s="7">
        <f>(1+E374)/(1+'inflation-monthly'!D374)-1</f>
        <v>-3.0120528393663415E-3</v>
      </c>
    </row>
    <row r="375" spans="2:6" x14ac:dyDescent="0.2">
      <c r="B375" s="4">
        <v>42369</v>
      </c>
      <c r="C375" s="8">
        <f>4505.241*(1/291.613*100)</f>
        <v>1544.9383257948034</v>
      </c>
      <c r="D375" s="8">
        <f t="shared" si="10"/>
        <v>358.61166624157664</v>
      </c>
      <c r="E375" s="6">
        <f t="shared" si="11"/>
        <v>-1.7577337931828474E-2</v>
      </c>
      <c r="F375" s="7">
        <f>(1+E375)/(1+'inflation-monthly'!D375)-1</f>
        <v>-1.5009393678857119E-2</v>
      </c>
    </row>
    <row r="376" spans="2:6" x14ac:dyDescent="0.2">
      <c r="B376" s="4">
        <v>42398</v>
      </c>
      <c r="C376" s="8">
        <f>4235.718*(1/291.613*100)</f>
        <v>1452.5134339004089</v>
      </c>
      <c r="D376" s="8">
        <f t="shared" si="10"/>
        <v>340.69005697839941</v>
      </c>
      <c r="E376" s="6">
        <f t="shared" si="11"/>
        <v>-5.98243246032788E-2</v>
      </c>
      <c r="F376" s="7">
        <f>(1+E376)/(1+'inflation-monthly'!D376)-1</f>
        <v>-4.9974975580143077E-2</v>
      </c>
    </row>
    <row r="377" spans="2:6" x14ac:dyDescent="0.2">
      <c r="B377" s="4">
        <v>42429</v>
      </c>
      <c r="C377" s="8">
        <f>4204.194*(1/291.613*100)</f>
        <v>1441.7032162489327</v>
      </c>
      <c r="D377" s="8">
        <f t="shared" si="10"/>
        <v>339.67613392123496</v>
      </c>
      <c r="E377" s="6">
        <f t="shared" si="11"/>
        <v>-7.4424218042843382E-3</v>
      </c>
      <c r="F377" s="7">
        <f>(1+E377)/(1+'inflation-monthly'!D377)-1</f>
        <v>-2.9760864351515703E-3</v>
      </c>
    </row>
    <row r="378" spans="2:6" x14ac:dyDescent="0.2">
      <c r="B378" s="4">
        <v>42460</v>
      </c>
      <c r="C378" s="8">
        <f>4489.486*(1/291.613*100)</f>
        <v>1539.5356174107462</v>
      </c>
      <c r="D378" s="8">
        <f t="shared" si="10"/>
        <v>355.8367717604001</v>
      </c>
      <c r="E378" s="6">
        <f t="shared" si="11"/>
        <v>6.7858904703255618E-2</v>
      </c>
      <c r="F378" s="7">
        <f>(1+E378)/(1+'inflation-monthly'!D378)-1</f>
        <v>4.7576606730081572E-2</v>
      </c>
    </row>
    <row r="379" spans="2:6" x14ac:dyDescent="0.2">
      <c r="B379" s="4">
        <v>42489</v>
      </c>
      <c r="C379" s="8">
        <f>4560.526*(1/291.613*100)</f>
        <v>1563.8966712732285</v>
      </c>
      <c r="D379" s="8">
        <f t="shared" si="10"/>
        <v>360.20530307000996</v>
      </c>
      <c r="E379" s="6">
        <f t="shared" si="11"/>
        <v>1.5823637717101713E-2</v>
      </c>
      <c r="F379" s="7">
        <f>(1+E379)/(1+'inflation-monthly'!D379)-1</f>
        <v>1.2276784346929137E-2</v>
      </c>
    </row>
    <row r="380" spans="2:6" x14ac:dyDescent="0.2">
      <c r="B380" s="4">
        <v>42521</v>
      </c>
      <c r="C380" s="8">
        <f>4586.14*(1/291.613*100)</f>
        <v>1572.6802303052334</v>
      </c>
      <c r="D380" s="8">
        <f t="shared" si="10"/>
        <v>361.20561310052454</v>
      </c>
      <c r="E380" s="6">
        <f t="shared" si="11"/>
        <v>5.6164573998702672E-3</v>
      </c>
      <c r="F380" s="7">
        <f>(1+E380)/(1+'inflation-monthly'!D380)-1</f>
        <v>2.7770552570687279E-3</v>
      </c>
    </row>
    <row r="381" spans="2:6" x14ac:dyDescent="0.2">
      <c r="B381" s="4">
        <v>42551</v>
      </c>
      <c r="C381" s="8">
        <f>4534.751*(1/291.613*100)</f>
        <v>1555.0579020825546</v>
      </c>
      <c r="D381" s="8">
        <f t="shared" si="10"/>
        <v>356.68478358210297</v>
      </c>
      <c r="E381" s="6">
        <f t="shared" si="11"/>
        <v>-1.1205283746244188E-2</v>
      </c>
      <c r="F381" s="7">
        <f>(1+E381)/(1+'inflation-monthly'!D381)-1</f>
        <v>-1.2515944809427526E-2</v>
      </c>
    </row>
    <row r="382" spans="2:6" x14ac:dyDescent="0.2">
      <c r="B382" s="4">
        <v>42580</v>
      </c>
      <c r="C382" s="8">
        <f>4726.337*(1/291.613*100)</f>
        <v>1620.7566192179363</v>
      </c>
      <c r="D382" s="8">
        <f t="shared" si="10"/>
        <v>374.22809051394484</v>
      </c>
      <c r="E382" s="6">
        <f t="shared" si="11"/>
        <v>4.2248405700776148E-2</v>
      </c>
      <c r="F382" s="7">
        <f>(1+E382)/(1+'inflation-monthly'!D382)-1</f>
        <v>4.9184343541819997E-2</v>
      </c>
    </row>
    <row r="383" spans="2:6" x14ac:dyDescent="0.2">
      <c r="B383" s="4">
        <v>42613</v>
      </c>
      <c r="C383" s="8">
        <f>4730.265*(1/291.613*100)</f>
        <v>1622.1036099213684</v>
      </c>
      <c r="D383" s="8">
        <f t="shared" si="10"/>
        <v>375.37788467301471</v>
      </c>
      <c r="E383" s="6">
        <f t="shared" si="11"/>
        <v>8.3108758431738039E-4</v>
      </c>
      <c r="F383" s="7">
        <f>(1+E383)/(1+'inflation-monthly'!D383)-1</f>
        <v>3.0724421501624466E-3</v>
      </c>
    </row>
    <row r="384" spans="2:6" x14ac:dyDescent="0.2">
      <c r="B384" s="4">
        <v>42643</v>
      </c>
      <c r="C384" s="8">
        <f>4755.392*(1/291.613*100)</f>
        <v>1630.7201667964048</v>
      </c>
      <c r="D384" s="8">
        <f t="shared" si="10"/>
        <v>374.76817386777253</v>
      </c>
      <c r="E384" s="6">
        <f t="shared" si="11"/>
        <v>5.3119645516688241E-3</v>
      </c>
      <c r="F384" s="7">
        <f>(1+E384)/(1+'inflation-monthly'!D384)-1</f>
        <v>-1.6242587273709308E-3</v>
      </c>
    </row>
    <row r="385" spans="2:6" x14ac:dyDescent="0.2">
      <c r="B385" s="4">
        <v>42674</v>
      </c>
      <c r="C385" s="8">
        <f>4663.361*(1/291.613*100)</f>
        <v>1599.1608741722762</v>
      </c>
      <c r="D385" s="8">
        <f t="shared" si="10"/>
        <v>366.26100712109087</v>
      </c>
      <c r="E385" s="6">
        <f t="shared" si="11"/>
        <v>-1.9352978681883681E-2</v>
      </c>
      <c r="F385" s="7">
        <f>(1+E385)/(1+'inflation-monthly'!D385)-1</f>
        <v>-2.2699811082899424E-2</v>
      </c>
    </row>
    <row r="386" spans="2:6" x14ac:dyDescent="0.2">
      <c r="B386" s="4">
        <v>42704</v>
      </c>
      <c r="C386" s="8">
        <f>4730.416*(1/291.613*100)</f>
        <v>1622.1553908776357</v>
      </c>
      <c r="D386" s="8">
        <f t="shared" si="10"/>
        <v>373.40616643716481</v>
      </c>
      <c r="E386" s="6">
        <f t="shared" si="11"/>
        <v>1.4379114119623226E-2</v>
      </c>
      <c r="F386" s="7">
        <f>(1+E386)/(1+'inflation-monthly'!D386)-1</f>
        <v>1.9508381119346607E-2</v>
      </c>
    </row>
    <row r="387" spans="2:6" x14ac:dyDescent="0.2">
      <c r="B387" s="4">
        <v>42734</v>
      </c>
      <c r="C387" s="8">
        <f>4843.607*(1/291.613*100)</f>
        <v>1660.9708757840012</v>
      </c>
      <c r="D387" s="8">
        <f t="shared" si="10"/>
        <v>382.19048754648463</v>
      </c>
      <c r="E387" s="6">
        <f t="shared" si="11"/>
        <v>2.3928339494877271E-2</v>
      </c>
      <c r="F387" s="7">
        <f>(1+E387)/(1+'inflation-monthly'!D387)-1</f>
        <v>2.3524842112638167E-2</v>
      </c>
    </row>
    <row r="388" spans="2:6" x14ac:dyDescent="0.2">
      <c r="B388" s="4">
        <v>42766</v>
      </c>
      <c r="C388" s="8">
        <f>4960.508*(1/291.613*100)</f>
        <v>1701.0585947814398</v>
      </c>
      <c r="D388" s="8">
        <f t="shared" ref="D388:D427" si="12">D387*(1+F388)</f>
        <v>393.74642934987219</v>
      </c>
      <c r="E388" s="6">
        <f t="shared" si="11"/>
        <v>2.4135112530806246E-2</v>
      </c>
      <c r="F388" s="7">
        <f>(1+E388)/(1+'inflation-monthly'!D388)-1</f>
        <v>3.0236079075573574E-2</v>
      </c>
    </row>
    <row r="389" spans="2:6" x14ac:dyDescent="0.2">
      <c r="B389" s="4">
        <v>42794</v>
      </c>
      <c r="C389" s="8">
        <f>5098.13*(1/291.613*100)</f>
        <v>1748.2519640756757</v>
      </c>
      <c r="D389" s="8">
        <f t="shared" si="12"/>
        <v>405.6031542701005</v>
      </c>
      <c r="E389" s="6">
        <f t="shared" ref="E389:E427" si="13">C389/C388-1</f>
        <v>2.774352949335035E-2</v>
      </c>
      <c r="F389" s="7">
        <f>(1+E389)/(1+'inflation-monthly'!D389)-1</f>
        <v>3.011259032826108E-2</v>
      </c>
    </row>
    <row r="390" spans="2:6" x14ac:dyDescent="0.2">
      <c r="B390" s="4">
        <v>42825</v>
      </c>
      <c r="C390" s="8">
        <f>5152.435*(1/291.613*100)</f>
        <v>1766.8742477187232</v>
      </c>
      <c r="D390" s="8">
        <f t="shared" si="12"/>
        <v>402.86326989480261</v>
      </c>
      <c r="E390" s="6">
        <f t="shared" si="13"/>
        <v>1.0651944928826929E-2</v>
      </c>
      <c r="F390" s="7">
        <f>(1+E390)/(1+'inflation-monthly'!D390)-1</f>
        <v>-6.7550864593950433E-3</v>
      </c>
    </row>
    <row r="391" spans="2:6" x14ac:dyDescent="0.2">
      <c r="B391" s="4">
        <v>42853</v>
      </c>
      <c r="C391" s="8">
        <f>5228.726*(1/291.613*100)</f>
        <v>1793.0359757623974</v>
      </c>
      <c r="D391" s="8">
        <f t="shared" si="12"/>
        <v>404.96917695689882</v>
      </c>
      <c r="E391" s="6">
        <f t="shared" si="13"/>
        <v>1.4806785529560162E-2</v>
      </c>
      <c r="F391" s="7">
        <f>(1+E391)/(1+'inflation-monthly'!D391)-1</f>
        <v>5.2273493750027988E-3</v>
      </c>
    </row>
    <row r="392" spans="2:6" x14ac:dyDescent="0.2">
      <c r="B392" s="4">
        <v>42886</v>
      </c>
      <c r="C392" s="8">
        <f>5339.337*(1/291.613*100)</f>
        <v>1830.9667264490954</v>
      </c>
      <c r="D392" s="8">
        <f t="shared" si="12"/>
        <v>414.51420900345539</v>
      </c>
      <c r="E392" s="6">
        <f t="shared" si="13"/>
        <v>2.1154483902962262E-2</v>
      </c>
      <c r="F392" s="7">
        <f>(1+E392)/(1+'inflation-monthly'!D392)-1</f>
        <v>2.35697741696832E-2</v>
      </c>
    </row>
    <row r="393" spans="2:6" x14ac:dyDescent="0.2">
      <c r="B393" s="4">
        <v>42916</v>
      </c>
      <c r="C393" s="8">
        <f>5359.88*(1/291.613*100)</f>
        <v>1838.0113369431403</v>
      </c>
      <c r="D393" s="8">
        <f t="shared" si="12"/>
        <v>417.78992668905784</v>
      </c>
      <c r="E393" s="6">
        <f t="shared" si="13"/>
        <v>3.8474814382383205E-3</v>
      </c>
      <c r="F393" s="7">
        <f>(1+E393)/(1+'inflation-monthly'!D393)-1</f>
        <v>7.9025461961308441E-3</v>
      </c>
    </row>
    <row r="394" spans="2:6" x14ac:dyDescent="0.2">
      <c r="B394" s="4">
        <v>42947</v>
      </c>
      <c r="C394" s="8">
        <f>5488.155*(1/291.613*100)</f>
        <v>1881.9994307524012</v>
      </c>
      <c r="D394" s="8">
        <f t="shared" si="12"/>
        <v>430.66439363549438</v>
      </c>
      <c r="E394" s="6">
        <f t="shared" si="13"/>
        <v>2.3932438785942978E-2</v>
      </c>
      <c r="F394" s="7">
        <f>(1+E394)/(1+'inflation-monthly'!D394)-1</f>
        <v>3.0815647108740407E-2</v>
      </c>
    </row>
    <row r="395" spans="2:6" x14ac:dyDescent="0.2">
      <c r="B395" s="4">
        <v>42978</v>
      </c>
      <c r="C395" s="8">
        <f>5495.883*(1/291.613*100)</f>
        <v>1884.6495183685224</v>
      </c>
      <c r="D395" s="8">
        <f t="shared" si="12"/>
        <v>431.23727687735089</v>
      </c>
      <c r="E395" s="6">
        <f t="shared" si="13"/>
        <v>1.4081234950542587E-3</v>
      </c>
      <c r="F395" s="7">
        <f>(1+E395)/(1+'inflation-monthly'!D395)-1</f>
        <v>1.3302312666725324E-3</v>
      </c>
    </row>
    <row r="396" spans="2:6" x14ac:dyDescent="0.2">
      <c r="B396" s="4">
        <v>43007</v>
      </c>
      <c r="C396" s="8">
        <f>5619.234*(1/291.613*100)</f>
        <v>1926.9490729151307</v>
      </c>
      <c r="D396" s="8">
        <f t="shared" si="12"/>
        <v>436.77730335366715</v>
      </c>
      <c r="E396" s="6">
        <f t="shared" si="13"/>
        <v>2.2444255090583454E-2</v>
      </c>
      <c r="F396" s="7">
        <f>(1+E396)/(1+'inflation-monthly'!D396)-1</f>
        <v>1.2846817224225981E-2</v>
      </c>
    </row>
    <row r="397" spans="2:6" x14ac:dyDescent="0.2">
      <c r="B397" s="4">
        <v>43039</v>
      </c>
      <c r="C397" s="8">
        <f>5725.429*(1/291.613*100)</f>
        <v>1963.3654878211876</v>
      </c>
      <c r="D397" s="8">
        <f t="shared" si="12"/>
        <v>443.50345976163135</v>
      </c>
      <c r="E397" s="6">
        <f t="shared" si="13"/>
        <v>1.8898483316409198E-2</v>
      </c>
      <c r="F397" s="7">
        <f>(1+E397)/(1+'inflation-monthly'!D397)-1</f>
        <v>1.5399509902001229E-2</v>
      </c>
    </row>
    <row r="398" spans="2:6" x14ac:dyDescent="0.2">
      <c r="B398" s="4">
        <v>43069</v>
      </c>
      <c r="C398" s="8">
        <f>5849.485*(1/291.613*100)</f>
        <v>2005.9068011371232</v>
      </c>
      <c r="D398" s="8">
        <f t="shared" si="12"/>
        <v>454.69665214737734</v>
      </c>
      <c r="E398" s="6">
        <f t="shared" si="13"/>
        <v>2.1667546658948877E-2</v>
      </c>
      <c r="F398" s="7">
        <f>(1+E398)/(1+'inflation-monthly'!D398)-1</f>
        <v>2.5238117402200055E-2</v>
      </c>
    </row>
    <row r="399" spans="2:6" x14ac:dyDescent="0.2">
      <c r="B399" s="4">
        <v>43098</v>
      </c>
      <c r="C399" s="8">
        <f>5928.591*(1/291.613*100)</f>
        <v>2033.0338496569084</v>
      </c>
      <c r="D399" s="8">
        <f t="shared" si="12"/>
        <v>461.04274877406203</v>
      </c>
      <c r="E399" s="6">
        <f t="shared" si="13"/>
        <v>1.3523583700103758E-2</v>
      </c>
      <c r="F399" s="7">
        <f>(1+E399)/(1+'inflation-monthly'!D399)-1</f>
        <v>1.3956770072342195E-2</v>
      </c>
    </row>
    <row r="400" spans="2:6" x14ac:dyDescent="0.2">
      <c r="B400" s="4">
        <v>43131</v>
      </c>
      <c r="C400" s="8">
        <f>6241.621*(1/291.613*100)</f>
        <v>2140.3781724408718</v>
      </c>
      <c r="D400" s="8">
        <f t="shared" si="12"/>
        <v>490.37676120560394</v>
      </c>
      <c r="E400" s="6">
        <f t="shared" si="13"/>
        <v>5.2800066660020795E-2</v>
      </c>
      <c r="F400" s="7">
        <f>(1+E400)/(1+'inflation-monthly'!D400)-1</f>
        <v>6.3625363395352519E-2</v>
      </c>
    </row>
    <row r="401" spans="2:6" x14ac:dyDescent="0.2">
      <c r="B401" s="4">
        <v>43159</v>
      </c>
      <c r="C401" s="8">
        <f>5983.047*(1/291.613*100)</f>
        <v>2051.7079142562229</v>
      </c>
      <c r="D401" s="8">
        <f t="shared" si="12"/>
        <v>473.27458233618569</v>
      </c>
      <c r="E401" s="6">
        <f t="shared" si="13"/>
        <v>-4.1427379201652959E-2</v>
      </c>
      <c r="F401" s="7">
        <f>(1+E401)/(1+'inflation-monthly'!D401)-1</f>
        <v>-3.4875590000170709E-2</v>
      </c>
    </row>
    <row r="402" spans="2:6" x14ac:dyDescent="0.2">
      <c r="B402" s="4">
        <v>43189</v>
      </c>
      <c r="C402" s="8">
        <f>5852.638*(1/291.613*100)</f>
        <v>2006.9880286544151</v>
      </c>
      <c r="D402" s="8">
        <f t="shared" si="12"/>
        <v>454.48292692194451</v>
      </c>
      <c r="E402" s="6">
        <f t="shared" si="13"/>
        <v>-2.1796419115544308E-2</v>
      </c>
      <c r="F402" s="7">
        <f>(1+E402)/(1+'inflation-monthly'!D402)-1</f>
        <v>-3.9705608785245761E-2</v>
      </c>
    </row>
    <row r="403" spans="2:6" x14ac:dyDescent="0.2">
      <c r="B403" s="4">
        <v>43220</v>
      </c>
      <c r="C403" s="8">
        <f>5919.891*(1/291.613*100)</f>
        <v>2030.0504435673304</v>
      </c>
      <c r="D403" s="8">
        <f t="shared" si="12"/>
        <v>456.68962254320144</v>
      </c>
      <c r="E403" s="6">
        <f t="shared" si="13"/>
        <v>1.1491057536789251E-2</v>
      </c>
      <c r="F403" s="7">
        <f>(1+E403)/(1+'inflation-monthly'!D403)-1</f>
        <v>4.855398279099532E-3</v>
      </c>
    </row>
    <row r="404" spans="2:6" x14ac:dyDescent="0.2">
      <c r="B404" s="4">
        <v>43251</v>
      </c>
      <c r="C404" s="8">
        <f>5956.988*(1/291.613*100)</f>
        <v>2042.7717557173378</v>
      </c>
      <c r="D404" s="8">
        <f t="shared" si="12"/>
        <v>457.69064186428068</v>
      </c>
      <c r="E404" s="6">
        <f t="shared" si="13"/>
        <v>6.266500514958917E-3</v>
      </c>
      <c r="F404" s="7">
        <f>(1+E404)/(1+'inflation-monthly'!D404)-1</f>
        <v>2.1919029285246694E-3</v>
      </c>
    </row>
    <row r="405" spans="2:6" x14ac:dyDescent="0.2">
      <c r="B405" s="4">
        <v>43280</v>
      </c>
      <c r="C405" s="8">
        <f>5954.146*(1/291.613*100)</f>
        <v>2041.7971763947421</v>
      </c>
      <c r="D405" s="8">
        <f t="shared" si="12"/>
        <v>457.1782928498497</v>
      </c>
      <c r="E405" s="6">
        <f t="shared" si="13"/>
        <v>-4.7708674249480332E-4</v>
      </c>
      <c r="F405" s="7">
        <f>(1+E405)/(1+'inflation-monthly'!D405)-1</f>
        <v>-1.1194220889989559E-3</v>
      </c>
    </row>
    <row r="406" spans="2:6" x14ac:dyDescent="0.2">
      <c r="B406" s="4">
        <v>43312</v>
      </c>
      <c r="C406" s="8">
        <f>6140.115*(1/291.613*100)</f>
        <v>2105.569710541025</v>
      </c>
      <c r="D406" s="8">
        <f t="shared" si="12"/>
        <v>474.35057120796836</v>
      </c>
      <c r="E406" s="6">
        <f t="shared" si="13"/>
        <v>3.1233530383702357E-2</v>
      </c>
      <c r="F406" s="7">
        <f>(1+E406)/(1+'inflation-monthly'!D406)-1</f>
        <v>3.7561447309919727E-2</v>
      </c>
    </row>
    <row r="407" spans="2:6" x14ac:dyDescent="0.2">
      <c r="B407" s="4">
        <v>43343</v>
      </c>
      <c r="C407" s="8">
        <f>6216.086*(1/291.613*100)</f>
        <v>2131.6217041078417</v>
      </c>
      <c r="D407" s="8">
        <f t="shared" si="12"/>
        <v>481.88406389127306</v>
      </c>
      <c r="E407" s="6">
        <f t="shared" si="13"/>
        <v>1.2372895295935216E-2</v>
      </c>
      <c r="F407" s="7">
        <f>(1+E407)/(1+'inflation-monthly'!D407)-1</f>
        <v>1.5881698348375828E-2</v>
      </c>
    </row>
    <row r="408" spans="2:6" x14ac:dyDescent="0.2">
      <c r="B408" s="4">
        <v>43371</v>
      </c>
      <c r="C408" s="8">
        <f>6250.698*(1/291.613*100)</f>
        <v>2143.4908594609979</v>
      </c>
      <c r="D408" s="8">
        <f t="shared" si="12"/>
        <v>479.16320817331683</v>
      </c>
      <c r="E408" s="6">
        <f t="shared" si="13"/>
        <v>5.5681340316076078E-3</v>
      </c>
      <c r="F408" s="7">
        <f>(1+E408)/(1+'inflation-monthly'!D408)-1</f>
        <v>-5.646286984435589E-3</v>
      </c>
    </row>
    <row r="409" spans="2:6" x14ac:dyDescent="0.2">
      <c r="B409" s="4">
        <v>43404</v>
      </c>
      <c r="C409" s="8">
        <f>5791.723*(1/291.613*100)</f>
        <v>1986.0990422237692</v>
      </c>
      <c r="D409" s="8">
        <f t="shared" si="12"/>
        <v>444.37897412559693</v>
      </c>
      <c r="E409" s="6">
        <f t="shared" si="13"/>
        <v>-7.3427799583342446E-2</v>
      </c>
      <c r="F409" s="7">
        <f>(1+E409)/(1+'inflation-monthly'!D409)-1</f>
        <v>-7.2593708061029161E-2</v>
      </c>
    </row>
    <row r="410" spans="2:6" x14ac:dyDescent="0.2">
      <c r="B410" s="4">
        <v>43434</v>
      </c>
      <c r="C410" s="8">
        <f>5857.516*(1/291.613*100)</f>
        <v>2008.6607935860197</v>
      </c>
      <c r="D410" s="8">
        <f t="shared" si="12"/>
        <v>451.44725202166291</v>
      </c>
      <c r="E410" s="6">
        <f t="shared" si="13"/>
        <v>1.1359831953289046E-2</v>
      </c>
      <c r="F410" s="7">
        <f>(1+E410)/(1+'inflation-monthly'!D410)-1</f>
        <v>1.5905968345991672E-2</v>
      </c>
    </row>
    <row r="411" spans="2:6" x14ac:dyDescent="0.2">
      <c r="B411" s="4">
        <v>43465</v>
      </c>
      <c r="C411" s="8">
        <f>5412.122*(1/291.613*100)</f>
        <v>1855.9261761306939</v>
      </c>
      <c r="D411" s="8">
        <f t="shared" si="12"/>
        <v>418.10184169897781</v>
      </c>
      <c r="E411" s="6">
        <f t="shared" si="13"/>
        <v>-7.6038033869647026E-2</v>
      </c>
      <c r="F411" s="7">
        <f>(1+E411)/(1+'inflation-monthly'!D411)-1</f>
        <v>-7.3863358727643824E-2</v>
      </c>
    </row>
    <row r="412" spans="2:6" x14ac:dyDescent="0.2">
      <c r="B412" s="4">
        <v>43496</v>
      </c>
      <c r="C412" s="8">
        <f>5833.217*(1/291.613*100)</f>
        <v>2000.3281746698533</v>
      </c>
      <c r="D412" s="8">
        <f t="shared" si="12"/>
        <v>456.11972204940537</v>
      </c>
      <c r="E412" s="6">
        <f t="shared" si="13"/>
        <v>7.7805895728144892E-2</v>
      </c>
      <c r="F412" s="7">
        <f>(1+E412)/(1+'inflation-monthly'!D412)-1</f>
        <v>9.0929712712912281E-2</v>
      </c>
    </row>
    <row r="413" spans="2:6" x14ac:dyDescent="0.2">
      <c r="B413" s="4">
        <v>43524</v>
      </c>
      <c r="C413" s="8">
        <f>6008.621*(1/291.613*100)</f>
        <v>2060.4777564786204</v>
      </c>
      <c r="D413" s="8">
        <f t="shared" si="12"/>
        <v>470.87424059108901</v>
      </c>
      <c r="E413" s="6">
        <f t="shared" si="13"/>
        <v>3.0069856821716145E-2</v>
      </c>
      <c r="F413" s="7">
        <f>(1+E413)/(1+'inflation-monthly'!D413)-1</f>
        <v>3.2347907420862354E-2</v>
      </c>
    </row>
    <row r="414" spans="2:6" x14ac:dyDescent="0.2">
      <c r="B414" s="4">
        <v>43553</v>
      </c>
      <c r="C414" s="8">
        <f>6087.541*(1/291.613*100)</f>
        <v>2087.5410218337315</v>
      </c>
      <c r="D414" s="8">
        <f t="shared" si="12"/>
        <v>468.75582598402053</v>
      </c>
      <c r="E414" s="6">
        <f t="shared" si="13"/>
        <v>1.3134461301519851E-2</v>
      </c>
      <c r="F414" s="7">
        <f>(1+E414)/(1+'inflation-monthly'!D414)-1</f>
        <v>-4.4988967848595962E-3</v>
      </c>
    </row>
    <row r="415" spans="2:6" x14ac:dyDescent="0.2">
      <c r="B415" s="4">
        <v>43585</v>
      </c>
      <c r="C415" s="8">
        <f>6303.401*(1/291.613*100)</f>
        <v>2161.5637848792749</v>
      </c>
      <c r="D415" s="8">
        <f t="shared" si="12"/>
        <v>482.55623381512157</v>
      </c>
      <c r="E415" s="6">
        <f t="shared" si="13"/>
        <v>3.5459309432166464E-2</v>
      </c>
      <c r="F415" s="7">
        <f>(1+E415)/(1+'inflation-monthly'!D415)-1</f>
        <v>2.9440504130548106E-2</v>
      </c>
    </row>
    <row r="416" spans="2:6" x14ac:dyDescent="0.2">
      <c r="B416" s="4">
        <v>43616</v>
      </c>
      <c r="C416" s="8">
        <f>5939.689*(1/291.613*100)</f>
        <v>2036.8395784824409</v>
      </c>
      <c r="D416" s="8">
        <f t="shared" si="12"/>
        <v>454.4473123542528</v>
      </c>
      <c r="E416" s="6">
        <f t="shared" si="13"/>
        <v>-5.7700914157293726E-2</v>
      </c>
      <c r="F416" s="7">
        <f>(1+E416)/(1+'inflation-monthly'!D416)-1</f>
        <v>-5.8250043189034706E-2</v>
      </c>
    </row>
    <row r="417" spans="2:6" x14ac:dyDescent="0.2">
      <c r="B417" s="4">
        <v>43644</v>
      </c>
      <c r="C417" s="8">
        <f>6331.084*(1/291.613*100)</f>
        <v>2171.0568458882149</v>
      </c>
      <c r="D417" s="8">
        <f t="shared" si="12"/>
        <v>484.24521715246146</v>
      </c>
      <c r="E417" s="6">
        <f t="shared" si="13"/>
        <v>6.5894864192384439E-2</v>
      </c>
      <c r="F417" s="7">
        <f>(1+E417)/(1+'inflation-monthly'!D417)-1</f>
        <v>6.5569547862086353E-2</v>
      </c>
    </row>
    <row r="418" spans="2:6" x14ac:dyDescent="0.2">
      <c r="B418" s="4">
        <v>43677</v>
      </c>
      <c r="C418" s="8">
        <f>6362.444*(1/291.613*100)</f>
        <v>2181.8108246203014</v>
      </c>
      <c r="D418" s="8">
        <f t="shared" si="12"/>
        <v>493.08183305467793</v>
      </c>
      <c r="E418" s="6">
        <f t="shared" si="13"/>
        <v>4.9533381645228136E-3</v>
      </c>
      <c r="F418" s="7">
        <f>(1+E418)/(1+'inflation-monthly'!D418)-1</f>
        <v>1.8248225463493473E-2</v>
      </c>
    </row>
    <row r="419" spans="2:6" x14ac:dyDescent="0.2">
      <c r="B419" s="4">
        <v>43707</v>
      </c>
      <c r="C419" s="8">
        <f>6232.303*(1/291.613*100)</f>
        <v>2137.1828416428621</v>
      </c>
      <c r="D419" s="8">
        <f t="shared" si="12"/>
        <v>483.55282020001135</v>
      </c>
      <c r="E419" s="6">
        <f t="shared" si="13"/>
        <v>-2.0454561171776131E-2</v>
      </c>
      <c r="F419" s="7">
        <f>(1+E419)/(1+'inflation-monthly'!D419)-1</f>
        <v>-1.9325418654412063E-2</v>
      </c>
    </row>
    <row r="420" spans="2:6" x14ac:dyDescent="0.2">
      <c r="B420" s="4">
        <v>43738</v>
      </c>
      <c r="C420" s="8">
        <f>6364.933*(1/291.613*100)</f>
        <v>2182.6643530981128</v>
      </c>
      <c r="D420" s="8">
        <f t="shared" si="12"/>
        <v>488.46709930395582</v>
      </c>
      <c r="E420" s="6">
        <f t="shared" si="13"/>
        <v>2.1281057740613729E-2</v>
      </c>
      <c r="F420" s="7">
        <f>(1+E420)/(1+'inflation-monthly'!D420)-1</f>
        <v>1.0162858944575692E-2</v>
      </c>
    </row>
    <row r="421" spans="2:6" x14ac:dyDescent="0.2">
      <c r="B421" s="4">
        <v>43769</v>
      </c>
      <c r="C421" s="8">
        <f>6526.904*(1/291.613*100)</f>
        <v>2238.2074873205243</v>
      </c>
      <c r="D421" s="8">
        <f t="shared" si="12"/>
        <v>500.71023321265113</v>
      </c>
      <c r="E421" s="6">
        <f t="shared" si="13"/>
        <v>2.5447400624641459E-2</v>
      </c>
      <c r="F421" s="7">
        <f>(1+E421)/(1+'inflation-monthly'!D421)-1</f>
        <v>2.506439824942408E-2</v>
      </c>
    </row>
    <row r="422" spans="2:6" x14ac:dyDescent="0.2">
      <c r="B422" s="4">
        <v>43798</v>
      </c>
      <c r="C422" s="8">
        <f>6708.68*(1/291.613*100)</f>
        <v>2300.5421568997267</v>
      </c>
      <c r="D422" s="8">
        <f t="shared" si="12"/>
        <v>515.41524831886181</v>
      </c>
      <c r="E422" s="6">
        <f t="shared" si="13"/>
        <v>2.7850264076199061E-2</v>
      </c>
      <c r="F422" s="7">
        <f>(1+E422)/(1+'inflation-monthly'!D422)-1</f>
        <v>2.9368313509113841E-2</v>
      </c>
    </row>
    <row r="423" spans="2:6" x14ac:dyDescent="0.2">
      <c r="B423" s="4">
        <v>43830</v>
      </c>
      <c r="C423" s="8">
        <f>6909.66*(1/291.613*100)</f>
        <v>2369.4622667713716</v>
      </c>
      <c r="D423" s="8">
        <f t="shared" si="12"/>
        <v>531.56026672467488</v>
      </c>
      <c r="E423" s="6">
        <f t="shared" si="13"/>
        <v>2.9958203402159489E-2</v>
      </c>
      <c r="F423" s="7">
        <f>(1+E423)/(1+'inflation-monthly'!D423)-1</f>
        <v>3.13242932925899E-2</v>
      </c>
    </row>
    <row r="424" spans="2:6" x14ac:dyDescent="0.2">
      <c r="B424" s="4">
        <v>43861</v>
      </c>
      <c r="C424" s="8">
        <f>6867.603*(1/291.613*100)</f>
        <v>2355.0400702300653</v>
      </c>
      <c r="D424" s="8">
        <f t="shared" si="12"/>
        <v>532.7413530411992</v>
      </c>
      <c r="E424" s="6">
        <f t="shared" si="13"/>
        <v>-6.0866960168806106E-3</v>
      </c>
      <c r="F424" s="7">
        <f>(1+E424)/(1+'inflation-monthly'!D424)-1</f>
        <v>2.2219236283438359E-3</v>
      </c>
    </row>
    <row r="425" spans="2:6" x14ac:dyDescent="0.2">
      <c r="B425" s="4">
        <v>43889</v>
      </c>
      <c r="C425" s="8">
        <f>6287.117*(1/291.613*100)</f>
        <v>2155.9796716881619</v>
      </c>
      <c r="D425" s="8">
        <f t="shared" si="12"/>
        <v>490.83542275328955</v>
      </c>
      <c r="E425" s="6">
        <f t="shared" si="13"/>
        <v>-8.4525270316295309E-2</v>
      </c>
      <c r="F425" s="7">
        <f>(1+E425)/(1+'inflation-monthly'!D425)-1</f>
        <v>-7.8660930015449493E-2</v>
      </c>
    </row>
    <row r="426" spans="2:6" x14ac:dyDescent="0.2">
      <c r="B426" s="4">
        <v>43921</v>
      </c>
      <c r="C426" s="8">
        <f>5455.063*(1/291.613*100)</f>
        <v>1870.6515141643206</v>
      </c>
      <c r="D426" s="8">
        <f t="shared" si="12"/>
        <v>419.85547299119622</v>
      </c>
      <c r="E426" s="6">
        <f t="shared" si="13"/>
        <v>-0.13234269379749086</v>
      </c>
      <c r="F426" s="7">
        <f>(1+E426)/(1+'inflation-monthly'!D426)-1</f>
        <v>-0.14461048749077399</v>
      </c>
    </row>
    <row r="427" spans="2:6" x14ac:dyDescent="0.2">
      <c r="B427" s="4">
        <v>43951</v>
      </c>
      <c r="C427" s="8">
        <f>6050.997*(1/291.613*100)</f>
        <v>2075.0093445765451</v>
      </c>
      <c r="D427" s="8">
        <f t="shared" si="12"/>
        <v>465.72224876290329</v>
      </c>
      <c r="E427" s="6">
        <f t="shared" si="13"/>
        <v>0.10924420121270839</v>
      </c>
      <c r="F427" s="7">
        <f>(1+E427)/(1+'inflation-monthly'!D427)-1</f>
        <v>0.10924420121270839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26"/>
  <sheetViews>
    <sheetView showGridLines="0" workbookViewId="0">
      <selection activeCell="D36" sqref="D36"/>
    </sheetView>
  </sheetViews>
  <sheetFormatPr defaultRowHeight="12.75" x14ac:dyDescent="0.2"/>
  <cols>
    <col min="1" max="1" width="1.7109375" customWidth="1"/>
    <col min="2" max="2" width="10.140625" bestFit="1" customWidth="1"/>
    <col min="3" max="3" width="16.42578125" customWidth="1"/>
    <col min="4" max="4" width="13.42578125" customWidth="1"/>
  </cols>
  <sheetData>
    <row r="2" spans="2:4" x14ac:dyDescent="0.2">
      <c r="B2" s="5" t="s">
        <v>4</v>
      </c>
      <c r="C2" s="5" t="s">
        <v>1067</v>
      </c>
      <c r="D2" s="5" t="s">
        <v>1068</v>
      </c>
    </row>
    <row r="3" spans="2:4" x14ac:dyDescent="0.2">
      <c r="B3" t="s">
        <v>643</v>
      </c>
      <c r="C3" s="14">
        <v>23.239660000000001</v>
      </c>
      <c r="D3" s="7"/>
    </row>
    <row r="4" spans="2:4" x14ac:dyDescent="0.2">
      <c r="B4" t="s">
        <v>644</v>
      </c>
      <c r="C4" s="14">
        <v>24.31147</v>
      </c>
      <c r="D4" s="7">
        <f t="shared" ref="D4:D66" si="0">C4/C3-1</f>
        <v>4.6119865781168778E-2</v>
      </c>
    </row>
    <row r="5" spans="2:4" x14ac:dyDescent="0.2">
      <c r="B5" t="s">
        <v>645</v>
      </c>
      <c r="C5" s="14">
        <v>24.950389999999999</v>
      </c>
      <c r="D5" s="7">
        <f t="shared" si="0"/>
        <v>2.6280599239782765E-2</v>
      </c>
    </row>
    <row r="6" spans="2:4" x14ac:dyDescent="0.2">
      <c r="B6" t="s">
        <v>646</v>
      </c>
      <c r="C6" s="14">
        <v>25.334530000000001</v>
      </c>
      <c r="D6" s="7">
        <f t="shared" si="0"/>
        <v>1.5396152124275586E-2</v>
      </c>
    </row>
    <row r="7" spans="2:4" x14ac:dyDescent="0.2">
      <c r="B7" t="s">
        <v>647</v>
      </c>
      <c r="C7" s="14">
        <v>25.614180000000001</v>
      </c>
      <c r="D7" s="7">
        <f t="shared" si="0"/>
        <v>1.1038294375305124E-2</v>
      </c>
    </row>
    <row r="8" spans="2:4" x14ac:dyDescent="0.2">
      <c r="B8" t="s">
        <v>648</v>
      </c>
      <c r="C8" s="14">
        <v>25.694790000000001</v>
      </c>
      <c r="D8" s="7">
        <f t="shared" si="0"/>
        <v>3.1470849349852781E-3</v>
      </c>
    </row>
    <row r="9" spans="2:4" x14ac:dyDescent="0.2">
      <c r="B9" t="s">
        <v>649</v>
      </c>
      <c r="C9" s="14">
        <v>25.732600000000001</v>
      </c>
      <c r="D9" s="7">
        <f t="shared" si="0"/>
        <v>1.4715045345767841E-3</v>
      </c>
    </row>
    <row r="10" spans="2:4" x14ac:dyDescent="0.2">
      <c r="B10" t="s">
        <v>650</v>
      </c>
      <c r="C10" s="14">
        <v>25.818190000000001</v>
      </c>
      <c r="D10" s="7">
        <f t="shared" si="0"/>
        <v>3.3261310555481316E-3</v>
      </c>
    </row>
    <row r="11" spans="2:4" x14ac:dyDescent="0.2">
      <c r="B11" t="s">
        <v>651</v>
      </c>
      <c r="C11" s="14">
        <v>26.018219999999999</v>
      </c>
      <c r="D11" s="7">
        <f t="shared" si="0"/>
        <v>7.7476383898327228E-3</v>
      </c>
    </row>
    <row r="12" spans="2:4" x14ac:dyDescent="0.2">
      <c r="B12" t="s">
        <v>652</v>
      </c>
      <c r="C12" s="14">
        <v>26.048079999999999</v>
      </c>
      <c r="D12" s="7">
        <f t="shared" si="0"/>
        <v>1.1476572955413378E-3</v>
      </c>
    </row>
    <row r="13" spans="2:4" x14ac:dyDescent="0.2">
      <c r="B13" t="s">
        <v>653</v>
      </c>
      <c r="C13" s="14">
        <v>26.30583</v>
      </c>
      <c r="D13" s="7">
        <f t="shared" si="0"/>
        <v>9.8951630983934447E-3</v>
      </c>
    </row>
    <row r="14" spans="2:4" x14ac:dyDescent="0.2">
      <c r="B14" t="s">
        <v>654</v>
      </c>
      <c r="C14" s="14">
        <v>26.71386</v>
      </c>
      <c r="D14" s="7">
        <f t="shared" si="0"/>
        <v>1.5511010296956895E-2</v>
      </c>
    </row>
    <row r="15" spans="2:4" x14ac:dyDescent="0.2">
      <c r="B15" t="s">
        <v>655</v>
      </c>
      <c r="C15" s="14">
        <v>27.15174</v>
      </c>
      <c r="D15" s="7">
        <f t="shared" si="0"/>
        <v>1.639149115852212E-2</v>
      </c>
    </row>
    <row r="16" spans="2:4" x14ac:dyDescent="0.2">
      <c r="B16" t="s">
        <v>656</v>
      </c>
      <c r="C16" s="14">
        <v>27.8643</v>
      </c>
      <c r="D16" s="7">
        <f t="shared" si="0"/>
        <v>2.6243621955720053E-2</v>
      </c>
    </row>
    <row r="17" spans="2:4" x14ac:dyDescent="0.2">
      <c r="B17" t="s">
        <v>657</v>
      </c>
      <c r="C17" s="14">
        <v>28.22655</v>
      </c>
      <c r="D17" s="7">
        <f t="shared" si="0"/>
        <v>1.3000506023836955E-2</v>
      </c>
    </row>
    <row r="18" spans="2:4" x14ac:dyDescent="0.2">
      <c r="B18" t="s">
        <v>658</v>
      </c>
      <c r="C18" s="14">
        <v>28.55198</v>
      </c>
      <c r="D18" s="7">
        <f t="shared" si="0"/>
        <v>1.1529216287502475E-2</v>
      </c>
    </row>
    <row r="19" spans="2:4" x14ac:dyDescent="0.2">
      <c r="B19" t="s">
        <v>659</v>
      </c>
      <c r="C19" s="14">
        <v>28.9192</v>
      </c>
      <c r="D19" s="7">
        <f t="shared" si="0"/>
        <v>1.2861454792277183E-2</v>
      </c>
    </row>
    <row r="20" spans="2:4" x14ac:dyDescent="0.2">
      <c r="B20" t="s">
        <v>660</v>
      </c>
      <c r="C20" s="14">
        <v>28.788830000000001</v>
      </c>
      <c r="D20" s="7">
        <f t="shared" si="0"/>
        <v>-4.5080776784972576E-3</v>
      </c>
    </row>
    <row r="21" spans="2:4" x14ac:dyDescent="0.2">
      <c r="B21" t="s">
        <v>661</v>
      </c>
      <c r="C21" s="14">
        <v>28.880389999999998</v>
      </c>
      <c r="D21" s="7">
        <f t="shared" si="0"/>
        <v>3.1804001760404876E-3</v>
      </c>
    </row>
    <row r="22" spans="2:4" x14ac:dyDescent="0.2">
      <c r="B22" t="s">
        <v>662</v>
      </c>
      <c r="C22" s="14">
        <v>28.878399999999999</v>
      </c>
      <c r="D22" s="7">
        <f t="shared" si="0"/>
        <v>-6.8904886672216392E-5</v>
      </c>
    </row>
    <row r="23" spans="2:4" x14ac:dyDescent="0.2">
      <c r="B23" t="s">
        <v>663</v>
      </c>
      <c r="C23" s="14">
        <v>29.14809</v>
      </c>
      <c r="D23" s="7">
        <f t="shared" si="0"/>
        <v>9.338813784697253E-3</v>
      </c>
    </row>
    <row r="24" spans="2:4" x14ac:dyDescent="0.2">
      <c r="B24" t="s">
        <v>664</v>
      </c>
      <c r="C24" s="14">
        <v>29.268509999999999</v>
      </c>
      <c r="D24" s="7">
        <f t="shared" si="0"/>
        <v>4.1313170091075158E-3</v>
      </c>
    </row>
    <row r="25" spans="2:4" x14ac:dyDescent="0.2">
      <c r="B25" t="s">
        <v>665</v>
      </c>
      <c r="C25" s="14">
        <v>29.454609999999999</v>
      </c>
      <c r="D25" s="7">
        <f t="shared" si="0"/>
        <v>6.3583694557733939E-3</v>
      </c>
    </row>
    <row r="26" spans="2:4" x14ac:dyDescent="0.2">
      <c r="B26" t="s">
        <v>666</v>
      </c>
      <c r="C26" s="14">
        <v>29.7044</v>
      </c>
      <c r="D26" s="7">
        <f t="shared" si="0"/>
        <v>8.4805061075330368E-3</v>
      </c>
    </row>
    <row r="27" spans="2:4" x14ac:dyDescent="0.2">
      <c r="B27" t="s">
        <v>667</v>
      </c>
      <c r="C27" s="14">
        <v>30.19802</v>
      </c>
      <c r="D27" s="7">
        <f t="shared" si="0"/>
        <v>1.661774013277495E-2</v>
      </c>
    </row>
    <row r="28" spans="2:4" x14ac:dyDescent="0.2">
      <c r="B28" t="s">
        <v>668</v>
      </c>
      <c r="C28" s="14">
        <v>30.652819999999998</v>
      </c>
      <c r="D28" s="7">
        <f t="shared" si="0"/>
        <v>1.5060590065176349E-2</v>
      </c>
    </row>
    <row r="29" spans="2:4" x14ac:dyDescent="0.2">
      <c r="B29" t="s">
        <v>669</v>
      </c>
      <c r="C29" s="14">
        <v>31.007110000000001</v>
      </c>
      <c r="D29" s="7">
        <f t="shared" si="0"/>
        <v>1.1558153540196292E-2</v>
      </c>
    </row>
    <row r="30" spans="2:4" x14ac:dyDescent="0.2">
      <c r="B30" t="s">
        <v>670</v>
      </c>
      <c r="C30" s="14">
        <v>31.425090000000001</v>
      </c>
      <c r="D30" s="7">
        <f t="shared" si="0"/>
        <v>1.3480134072475725E-2</v>
      </c>
    </row>
    <row r="31" spans="2:4" x14ac:dyDescent="0.2">
      <c r="B31" t="s">
        <v>671</v>
      </c>
      <c r="C31" s="14">
        <v>31.583320000000001</v>
      </c>
      <c r="D31" s="7">
        <f t="shared" si="0"/>
        <v>5.0351486662407741E-3</v>
      </c>
    </row>
    <row r="32" spans="2:4" x14ac:dyDescent="0.2">
      <c r="B32" t="s">
        <v>672</v>
      </c>
      <c r="C32" s="14">
        <v>31.617159999999998</v>
      </c>
      <c r="D32" s="7">
        <f t="shared" si="0"/>
        <v>1.0714516396628238E-3</v>
      </c>
    </row>
    <row r="33" spans="2:4" x14ac:dyDescent="0.2">
      <c r="B33" t="s">
        <v>673</v>
      </c>
      <c r="C33" s="14">
        <v>31.53257</v>
      </c>
      <c r="D33" s="7">
        <f t="shared" si="0"/>
        <v>-2.6754458654729696E-3</v>
      </c>
    </row>
    <row r="34" spans="2:4" x14ac:dyDescent="0.2">
      <c r="B34" t="s">
        <v>674</v>
      </c>
      <c r="C34" s="14">
        <v>31.630089999999999</v>
      </c>
      <c r="D34" s="7">
        <f t="shared" si="0"/>
        <v>3.0926752878055463E-3</v>
      </c>
    </row>
    <row r="35" spans="2:4" x14ac:dyDescent="0.2">
      <c r="B35" t="s">
        <v>675</v>
      </c>
      <c r="C35" s="14">
        <v>31.96846</v>
      </c>
      <c r="D35" s="7">
        <f t="shared" si="0"/>
        <v>1.0697724856299828E-2</v>
      </c>
    </row>
    <row r="36" spans="2:4" x14ac:dyDescent="0.2">
      <c r="B36" t="s">
        <v>676</v>
      </c>
      <c r="C36" s="14">
        <v>32.057029999999997</v>
      </c>
      <c r="D36" s="7">
        <f t="shared" si="0"/>
        <v>2.770543216657817E-3</v>
      </c>
    </row>
    <row r="37" spans="2:4" x14ac:dyDescent="0.2">
      <c r="B37" t="s">
        <v>677</v>
      </c>
      <c r="C37" s="14">
        <v>32.415300000000002</v>
      </c>
      <c r="D37" s="7">
        <f t="shared" si="0"/>
        <v>1.1176019737324516E-2</v>
      </c>
    </row>
    <row r="38" spans="2:4" x14ac:dyDescent="0.2">
      <c r="B38" t="s">
        <v>678</v>
      </c>
      <c r="C38" s="14">
        <v>32.53472</v>
      </c>
      <c r="D38" s="7">
        <f t="shared" si="0"/>
        <v>3.6840627728262909E-3</v>
      </c>
    </row>
    <row r="39" spans="2:4" x14ac:dyDescent="0.2">
      <c r="B39" t="s">
        <v>679</v>
      </c>
      <c r="C39" s="14">
        <v>32.977580000000003</v>
      </c>
      <c r="D39" s="7">
        <f t="shared" si="0"/>
        <v>1.3611919819811025E-2</v>
      </c>
    </row>
    <row r="40" spans="2:4" x14ac:dyDescent="0.2">
      <c r="B40" t="s">
        <v>680</v>
      </c>
      <c r="C40" s="14">
        <v>33.450290000000003</v>
      </c>
      <c r="D40" s="7">
        <f t="shared" si="0"/>
        <v>1.433428408027515E-2</v>
      </c>
    </row>
    <row r="41" spans="2:4" x14ac:dyDescent="0.2">
      <c r="B41" t="s">
        <v>681</v>
      </c>
      <c r="C41" s="14">
        <v>33.913060000000002</v>
      </c>
      <c r="D41" s="7">
        <f t="shared" si="0"/>
        <v>1.3834558683945675E-2</v>
      </c>
    </row>
    <row r="42" spans="2:4" x14ac:dyDescent="0.2">
      <c r="B42" t="s">
        <v>682</v>
      </c>
      <c r="C42" s="14">
        <v>34.14096</v>
      </c>
      <c r="D42" s="7">
        <f t="shared" si="0"/>
        <v>6.7201249312212052E-3</v>
      </c>
    </row>
    <row r="43" spans="2:4" x14ac:dyDescent="0.2">
      <c r="B43" t="s">
        <v>683</v>
      </c>
      <c r="C43" s="14">
        <v>34.268340000000002</v>
      </c>
      <c r="D43" s="7">
        <f t="shared" si="0"/>
        <v>3.7310022916754448E-3</v>
      </c>
    </row>
    <row r="44" spans="2:4" x14ac:dyDescent="0.2">
      <c r="B44" t="s">
        <v>684</v>
      </c>
      <c r="C44" s="14">
        <v>34.383780000000002</v>
      </c>
      <c r="D44" s="7">
        <f t="shared" si="0"/>
        <v>3.3687070923189566E-3</v>
      </c>
    </row>
    <row r="45" spans="2:4" x14ac:dyDescent="0.2">
      <c r="B45" t="s">
        <v>685</v>
      </c>
      <c r="C45" s="14">
        <v>34.56391</v>
      </c>
      <c r="D45" s="7">
        <f t="shared" si="0"/>
        <v>5.2388073678926173E-3</v>
      </c>
    </row>
    <row r="46" spans="2:4" x14ac:dyDescent="0.2">
      <c r="B46" t="s">
        <v>686</v>
      </c>
      <c r="C46" s="14">
        <v>34.847540000000002</v>
      </c>
      <c r="D46" s="7">
        <f t="shared" si="0"/>
        <v>8.2059581800786319E-3</v>
      </c>
    </row>
    <row r="47" spans="2:4" x14ac:dyDescent="0.2">
      <c r="B47" t="s">
        <v>687</v>
      </c>
      <c r="C47" s="14">
        <v>35.30433</v>
      </c>
      <c r="D47" s="7">
        <f t="shared" si="0"/>
        <v>1.3108242360866829E-2</v>
      </c>
    </row>
    <row r="48" spans="2:4" x14ac:dyDescent="0.2">
      <c r="B48" t="s">
        <v>688</v>
      </c>
      <c r="C48" s="14">
        <v>35.665590000000002</v>
      </c>
      <c r="D48" s="7">
        <f t="shared" si="0"/>
        <v>1.0232739156925019E-2</v>
      </c>
    </row>
    <row r="49" spans="2:4" x14ac:dyDescent="0.2">
      <c r="B49" t="s">
        <v>689</v>
      </c>
      <c r="C49" s="14">
        <v>35.982059999999997</v>
      </c>
      <c r="D49" s="7">
        <f t="shared" si="0"/>
        <v>8.8732585105137929E-3</v>
      </c>
    </row>
    <row r="50" spans="2:4" x14ac:dyDescent="0.2">
      <c r="B50" t="s">
        <v>690</v>
      </c>
      <c r="C50" s="14">
        <v>36.488610000000001</v>
      </c>
      <c r="D50" s="7">
        <f t="shared" si="0"/>
        <v>1.407784879464935E-2</v>
      </c>
    </row>
    <row r="51" spans="2:4" x14ac:dyDescent="0.2">
      <c r="B51" t="s">
        <v>691</v>
      </c>
      <c r="C51" s="14">
        <v>36.920520000000003</v>
      </c>
      <c r="D51" s="7">
        <f t="shared" si="0"/>
        <v>1.1836844428987581E-2</v>
      </c>
    </row>
    <row r="52" spans="2:4" x14ac:dyDescent="0.2">
      <c r="B52" t="s">
        <v>692</v>
      </c>
      <c r="C52" s="14">
        <v>37.57734</v>
      </c>
      <c r="D52" s="7">
        <f t="shared" si="0"/>
        <v>1.7790106964907126E-2</v>
      </c>
    </row>
    <row r="53" spans="2:4" x14ac:dyDescent="0.2">
      <c r="B53" t="s">
        <v>693</v>
      </c>
      <c r="C53" s="14">
        <v>38.080910000000003</v>
      </c>
      <c r="D53" s="7">
        <f t="shared" si="0"/>
        <v>1.3400895326811435E-2</v>
      </c>
    </row>
    <row r="54" spans="2:4" x14ac:dyDescent="0.2">
      <c r="B54" t="s">
        <v>694</v>
      </c>
      <c r="C54" s="14">
        <v>38.40634</v>
      </c>
      <c r="D54" s="7">
        <f t="shared" si="0"/>
        <v>8.545751664022605E-3</v>
      </c>
    </row>
    <row r="55" spans="2:4" x14ac:dyDescent="0.2">
      <c r="B55" t="s">
        <v>695</v>
      </c>
      <c r="C55" s="14">
        <v>38.798439999999999</v>
      </c>
      <c r="D55" s="7">
        <f t="shared" si="0"/>
        <v>1.0209251909971018E-2</v>
      </c>
    </row>
    <row r="56" spans="2:4" x14ac:dyDescent="0.2">
      <c r="B56" t="s">
        <v>696</v>
      </c>
      <c r="C56" s="14">
        <v>38.867109999999997</v>
      </c>
      <c r="D56" s="7">
        <f t="shared" si="0"/>
        <v>1.769916522416759E-3</v>
      </c>
    </row>
    <row r="57" spans="2:4" x14ac:dyDescent="0.2">
      <c r="B57" t="s">
        <v>697</v>
      </c>
      <c r="C57" s="14">
        <v>39.127850000000002</v>
      </c>
      <c r="D57" s="7">
        <f t="shared" si="0"/>
        <v>6.7084998087072467E-3</v>
      </c>
    </row>
    <row r="58" spans="2:4" x14ac:dyDescent="0.2">
      <c r="B58" t="s">
        <v>698</v>
      </c>
      <c r="C58" s="14">
        <v>39.493079999999999</v>
      </c>
      <c r="D58" s="7">
        <f t="shared" si="0"/>
        <v>9.3342721360871739E-3</v>
      </c>
    </row>
    <row r="59" spans="2:4" x14ac:dyDescent="0.2">
      <c r="B59" t="s">
        <v>699</v>
      </c>
      <c r="C59" s="14">
        <v>40.143940000000001</v>
      </c>
      <c r="D59" s="7">
        <f t="shared" si="0"/>
        <v>1.6480355545832381E-2</v>
      </c>
    </row>
    <row r="60" spans="2:4" x14ac:dyDescent="0.2">
      <c r="B60" t="s">
        <v>700</v>
      </c>
      <c r="C60" s="14">
        <v>40.230519999999999</v>
      </c>
      <c r="D60" s="7">
        <f t="shared" si="0"/>
        <v>2.1567389747991772E-3</v>
      </c>
    </row>
    <row r="61" spans="2:4" x14ac:dyDescent="0.2">
      <c r="B61" t="s">
        <v>701</v>
      </c>
      <c r="C61" s="14">
        <v>40.430549999999997</v>
      </c>
      <c r="D61" s="7">
        <f t="shared" si="0"/>
        <v>4.9720958118364411E-3</v>
      </c>
    </row>
    <row r="62" spans="2:4" x14ac:dyDescent="0.2">
      <c r="B62" t="s">
        <v>702</v>
      </c>
      <c r="C62" s="14">
        <v>40.808720000000001</v>
      </c>
      <c r="D62" s="7">
        <f t="shared" si="0"/>
        <v>9.3535705054719198E-3</v>
      </c>
    </row>
    <row r="63" spans="2:4" x14ac:dyDescent="0.2">
      <c r="B63" t="s">
        <v>703</v>
      </c>
      <c r="C63" s="14">
        <v>41.237650000000002</v>
      </c>
      <c r="D63" s="7">
        <f t="shared" si="0"/>
        <v>1.0510743782211174E-2</v>
      </c>
    </row>
    <row r="64" spans="2:4" x14ac:dyDescent="0.2">
      <c r="B64" t="s">
        <v>704</v>
      </c>
      <c r="C64" s="14">
        <v>42.22786</v>
      </c>
      <c r="D64" s="7">
        <f t="shared" si="0"/>
        <v>2.4012280040205836E-2</v>
      </c>
    </row>
    <row r="65" spans="2:4" x14ac:dyDescent="0.2">
      <c r="B65" t="s">
        <v>705</v>
      </c>
      <c r="C65" s="14">
        <v>43.169310000000003</v>
      </c>
      <c r="D65" s="7">
        <f t="shared" si="0"/>
        <v>2.2294523094468888E-2</v>
      </c>
    </row>
    <row r="66" spans="2:4" x14ac:dyDescent="0.2">
      <c r="B66" t="s">
        <v>706</v>
      </c>
      <c r="C66" s="14">
        <v>43.422089999999997</v>
      </c>
      <c r="D66" s="7">
        <f t="shared" si="0"/>
        <v>5.8555487683262797E-3</v>
      </c>
    </row>
    <row r="67" spans="2:4" x14ac:dyDescent="0.2">
      <c r="B67" t="s">
        <v>707</v>
      </c>
      <c r="C67" s="14">
        <v>43.922669999999997</v>
      </c>
      <c r="D67" s="7">
        <f t="shared" ref="D67:D130" si="1">C67/C66-1</f>
        <v>1.1528233670926369E-2</v>
      </c>
    </row>
    <row r="68" spans="2:4" x14ac:dyDescent="0.2">
      <c r="B68" t="s">
        <v>708</v>
      </c>
      <c r="C68" s="14">
        <v>44.388420000000004</v>
      </c>
      <c r="D68" s="7">
        <f t="shared" si="1"/>
        <v>1.0603863562939297E-2</v>
      </c>
    </row>
    <row r="69" spans="2:4" x14ac:dyDescent="0.2">
      <c r="B69" t="s">
        <v>709</v>
      </c>
      <c r="C69" s="14">
        <v>44.518790000000003</v>
      </c>
      <c r="D69" s="7">
        <f t="shared" si="1"/>
        <v>2.93702726972489E-3</v>
      </c>
    </row>
    <row r="70" spans="2:4" x14ac:dyDescent="0.2">
      <c r="B70" t="s">
        <v>710</v>
      </c>
      <c r="C70" s="14">
        <v>44.83426</v>
      </c>
      <c r="D70" s="7">
        <f t="shared" si="1"/>
        <v>7.0862213460878287E-3</v>
      </c>
    </row>
    <row r="71" spans="2:4" x14ac:dyDescent="0.2">
      <c r="B71" t="s">
        <v>711</v>
      </c>
      <c r="C71" s="14">
        <v>45.366689999999998</v>
      </c>
      <c r="D71" s="7">
        <f t="shared" si="1"/>
        <v>1.1875516625009519E-2</v>
      </c>
    </row>
    <row r="72" spans="2:4" x14ac:dyDescent="0.2">
      <c r="B72" t="s">
        <v>712</v>
      </c>
      <c r="C72" s="14">
        <v>45.84836</v>
      </c>
      <c r="D72" s="7">
        <f t="shared" si="1"/>
        <v>1.0617261254898702E-2</v>
      </c>
    </row>
    <row r="73" spans="2:4" x14ac:dyDescent="0.2">
      <c r="B73" t="s">
        <v>713</v>
      </c>
      <c r="C73" s="14">
        <v>46.34695</v>
      </c>
      <c r="D73" s="7">
        <f t="shared" si="1"/>
        <v>1.0874761932596844E-2</v>
      </c>
    </row>
    <row r="74" spans="2:4" x14ac:dyDescent="0.2">
      <c r="B74" t="s">
        <v>714</v>
      </c>
      <c r="C74" s="14">
        <v>46.648490000000002</v>
      </c>
      <c r="D74" s="7">
        <f t="shared" si="1"/>
        <v>6.5061454960899656E-3</v>
      </c>
    </row>
    <row r="75" spans="2:4" x14ac:dyDescent="0.2">
      <c r="B75" t="s">
        <v>715</v>
      </c>
      <c r="C75" s="14">
        <v>47.008749999999999</v>
      </c>
      <c r="D75" s="7">
        <f t="shared" si="1"/>
        <v>7.7228651988521246E-3</v>
      </c>
    </row>
    <row r="76" spans="2:4" x14ac:dyDescent="0.2">
      <c r="B76" t="s">
        <v>716</v>
      </c>
      <c r="C76" s="14">
        <v>48.030810000000002</v>
      </c>
      <c r="D76" s="7">
        <f t="shared" si="1"/>
        <v>2.1741909750844224E-2</v>
      </c>
    </row>
    <row r="77" spans="2:4" x14ac:dyDescent="0.2">
      <c r="B77" t="s">
        <v>717</v>
      </c>
      <c r="C77" s="14">
        <v>48.848860000000002</v>
      </c>
      <c r="D77" s="7">
        <f t="shared" si="1"/>
        <v>1.7031776062073511E-2</v>
      </c>
    </row>
    <row r="78" spans="2:4" x14ac:dyDescent="0.2">
      <c r="B78" t="s">
        <v>718</v>
      </c>
      <c r="C78" s="14">
        <v>49.120539999999998</v>
      </c>
      <c r="D78" s="7">
        <f t="shared" si="1"/>
        <v>5.561644632034346E-3</v>
      </c>
    </row>
    <row r="79" spans="2:4" x14ac:dyDescent="0.2">
      <c r="B79" t="s">
        <v>719</v>
      </c>
      <c r="C79" s="14">
        <v>49.460900000000002</v>
      </c>
      <c r="D79" s="7">
        <f t="shared" si="1"/>
        <v>6.9290769197569713E-3</v>
      </c>
    </row>
    <row r="80" spans="2:4" x14ac:dyDescent="0.2">
      <c r="B80" t="s">
        <v>720</v>
      </c>
      <c r="C80" s="14">
        <v>49.821159999999999</v>
      </c>
      <c r="D80" s="7">
        <f t="shared" si="1"/>
        <v>7.2837332114861209E-3</v>
      </c>
    </row>
    <row r="81" spans="2:4" x14ac:dyDescent="0.2">
      <c r="B81" t="s">
        <v>721</v>
      </c>
      <c r="C81" s="14">
        <v>50.151560000000003</v>
      </c>
      <c r="D81" s="7">
        <f t="shared" si="1"/>
        <v>6.6317203373025269E-3</v>
      </c>
    </row>
    <row r="82" spans="2:4" x14ac:dyDescent="0.2">
      <c r="B82" t="s">
        <v>722</v>
      </c>
      <c r="C82" s="14">
        <v>50.379460000000002</v>
      </c>
      <c r="D82" s="7">
        <f t="shared" si="1"/>
        <v>4.5442255435323986E-3</v>
      </c>
    </row>
    <row r="83" spans="2:4" x14ac:dyDescent="0.2">
      <c r="B83" t="s">
        <v>723</v>
      </c>
      <c r="C83" s="14">
        <v>50.710850000000001</v>
      </c>
      <c r="D83" s="7">
        <f t="shared" si="1"/>
        <v>6.5778791594828245E-3</v>
      </c>
    </row>
    <row r="84" spans="2:4" x14ac:dyDescent="0.2">
      <c r="B84" t="s">
        <v>724</v>
      </c>
      <c r="C84" s="14">
        <v>50.80838</v>
      </c>
      <c r="D84" s="7">
        <f t="shared" si="1"/>
        <v>1.9232570544567285E-3</v>
      </c>
    </row>
    <row r="85" spans="2:4" x14ac:dyDescent="0.2">
      <c r="B85" t="s">
        <v>725</v>
      </c>
      <c r="C85" s="14">
        <v>51.092010000000002</v>
      </c>
      <c r="D85" s="7">
        <f t="shared" si="1"/>
        <v>5.5823468490827644E-3</v>
      </c>
    </row>
    <row r="86" spans="2:4" x14ac:dyDescent="0.2">
      <c r="B86" t="s">
        <v>726</v>
      </c>
      <c r="C86" s="14">
        <v>51.341799999999999</v>
      </c>
      <c r="D86" s="7">
        <f t="shared" si="1"/>
        <v>4.8890227650075779E-3</v>
      </c>
    </row>
    <row r="87" spans="2:4" x14ac:dyDescent="0.2">
      <c r="B87" t="s">
        <v>727</v>
      </c>
      <c r="C87" s="14">
        <v>51.651310000000002</v>
      </c>
      <c r="D87" s="7">
        <f t="shared" si="1"/>
        <v>6.0284212863592757E-3</v>
      </c>
    </row>
    <row r="88" spans="2:4" x14ac:dyDescent="0.2">
      <c r="B88" t="s">
        <v>728</v>
      </c>
      <c r="C88" s="14">
        <v>52.549959999999999</v>
      </c>
      <c r="D88" s="7">
        <f t="shared" si="1"/>
        <v>1.7398397059048332E-2</v>
      </c>
    </row>
    <row r="89" spans="2:4" x14ac:dyDescent="0.2">
      <c r="B89" t="s">
        <v>729</v>
      </c>
      <c r="C89" s="14">
        <v>53.162010000000002</v>
      </c>
      <c r="D89" s="7">
        <f t="shared" si="1"/>
        <v>1.1647011719894795E-2</v>
      </c>
    </row>
    <row r="90" spans="2:4" x14ac:dyDescent="0.2">
      <c r="B90" t="s">
        <v>730</v>
      </c>
      <c r="C90" s="14">
        <v>53.670549999999999</v>
      </c>
      <c r="D90" s="7">
        <f t="shared" si="1"/>
        <v>9.5658535108058551E-3</v>
      </c>
    </row>
    <row r="91" spans="2:4" x14ac:dyDescent="0.2">
      <c r="B91" t="s">
        <v>731</v>
      </c>
      <c r="C91" s="14">
        <v>54.485610000000001</v>
      </c>
      <c r="D91" s="7">
        <f t="shared" si="1"/>
        <v>1.5186354527762402E-2</v>
      </c>
    </row>
    <row r="92" spans="2:4" x14ac:dyDescent="0.2">
      <c r="B92" t="s">
        <v>732</v>
      </c>
      <c r="C92" s="14">
        <v>54.959319999999998</v>
      </c>
      <c r="D92" s="7">
        <f t="shared" si="1"/>
        <v>8.6942221992192259E-3</v>
      </c>
    </row>
    <row r="93" spans="2:4" x14ac:dyDescent="0.2">
      <c r="B93" t="s">
        <v>733</v>
      </c>
      <c r="C93" s="14">
        <v>55.175269999999998</v>
      </c>
      <c r="D93" s="7">
        <f t="shared" si="1"/>
        <v>3.9292698672399595E-3</v>
      </c>
    </row>
    <row r="94" spans="2:4" x14ac:dyDescent="0.2">
      <c r="B94" t="s">
        <v>734</v>
      </c>
      <c r="C94" s="14">
        <v>55.41113</v>
      </c>
      <c r="D94" s="7">
        <f t="shared" si="1"/>
        <v>4.2747412019914499E-3</v>
      </c>
    </row>
    <row r="95" spans="2:4" x14ac:dyDescent="0.2">
      <c r="B95" t="s">
        <v>735</v>
      </c>
      <c r="C95" s="14">
        <v>55.658940000000001</v>
      </c>
      <c r="D95" s="7">
        <f t="shared" si="1"/>
        <v>4.472206215610397E-3</v>
      </c>
    </row>
    <row r="96" spans="2:4" x14ac:dyDescent="0.2">
      <c r="B96" t="s">
        <v>736</v>
      </c>
      <c r="C96" s="14">
        <v>55.66789</v>
      </c>
      <c r="D96" s="7">
        <f t="shared" si="1"/>
        <v>1.6080076264479715E-4</v>
      </c>
    </row>
    <row r="97" spans="2:4" x14ac:dyDescent="0.2">
      <c r="B97" t="s">
        <v>737</v>
      </c>
      <c r="C97" s="14">
        <v>55.859960000000001</v>
      </c>
      <c r="D97" s="7">
        <f t="shared" si="1"/>
        <v>3.4502834578424846E-3</v>
      </c>
    </row>
    <row r="98" spans="2:4" x14ac:dyDescent="0.2">
      <c r="B98" t="s">
        <v>738</v>
      </c>
      <c r="C98" s="14">
        <v>56.045070000000003</v>
      </c>
      <c r="D98" s="7">
        <f t="shared" si="1"/>
        <v>3.3138226378965907E-3</v>
      </c>
    </row>
    <row r="99" spans="2:4" x14ac:dyDescent="0.2">
      <c r="B99" t="s">
        <v>739</v>
      </c>
      <c r="C99" s="14">
        <v>56.263019999999997</v>
      </c>
      <c r="D99" s="7">
        <f t="shared" si="1"/>
        <v>3.888834468401825E-3</v>
      </c>
    </row>
    <row r="100" spans="2:4" x14ac:dyDescent="0.2">
      <c r="B100" t="s">
        <v>740</v>
      </c>
      <c r="C100" s="14">
        <v>57.071109999999997</v>
      </c>
      <c r="D100" s="7">
        <f t="shared" si="1"/>
        <v>1.4362719953532554E-2</v>
      </c>
    </row>
    <row r="101" spans="2:4" x14ac:dyDescent="0.2">
      <c r="B101" t="s">
        <v>741</v>
      </c>
      <c r="C101" s="14">
        <v>57.497050000000002</v>
      </c>
      <c r="D101" s="7">
        <f t="shared" si="1"/>
        <v>7.4633207589620554E-3</v>
      </c>
    </row>
    <row r="102" spans="2:4" x14ac:dyDescent="0.2">
      <c r="B102" t="s">
        <v>742</v>
      </c>
      <c r="C102" s="14">
        <v>57.727930000000001</v>
      </c>
      <c r="D102" s="7">
        <f t="shared" si="1"/>
        <v>4.0155103609662568E-3</v>
      </c>
    </row>
    <row r="103" spans="2:4" x14ac:dyDescent="0.2">
      <c r="B103" t="s">
        <v>743</v>
      </c>
      <c r="C103" s="14">
        <v>58.054360000000003</v>
      </c>
      <c r="D103" s="7">
        <f t="shared" si="1"/>
        <v>5.6546285307650379E-3</v>
      </c>
    </row>
    <row r="104" spans="2:4" x14ac:dyDescent="0.2">
      <c r="B104" t="s">
        <v>744</v>
      </c>
      <c r="C104" s="14">
        <v>58.326039999999999</v>
      </c>
      <c r="D104" s="7">
        <f t="shared" si="1"/>
        <v>4.6797518739332133E-3</v>
      </c>
    </row>
    <row r="105" spans="2:4" x14ac:dyDescent="0.2">
      <c r="B105" t="s">
        <v>745</v>
      </c>
      <c r="C105" s="14">
        <v>58.459400000000002</v>
      </c>
      <c r="D105" s="7">
        <f t="shared" si="1"/>
        <v>2.286457301061473E-3</v>
      </c>
    </row>
    <row r="106" spans="2:4" x14ac:dyDescent="0.2">
      <c r="B106" t="s">
        <v>746</v>
      </c>
      <c r="C106" s="14">
        <v>58.80274</v>
      </c>
      <c r="D106" s="7">
        <f t="shared" si="1"/>
        <v>5.8731358857599947E-3</v>
      </c>
    </row>
    <row r="107" spans="2:4" x14ac:dyDescent="0.2">
      <c r="B107" t="s">
        <v>747</v>
      </c>
      <c r="C107" s="14">
        <v>59.030639999999998</v>
      </c>
      <c r="D107" s="7">
        <f t="shared" si="1"/>
        <v>3.8756697391992834E-3</v>
      </c>
    </row>
    <row r="108" spans="2:4" x14ac:dyDescent="0.2">
      <c r="B108" t="s">
        <v>748</v>
      </c>
      <c r="C108" s="14">
        <v>59.198819999999998</v>
      </c>
      <c r="D108" s="7">
        <f t="shared" si="1"/>
        <v>2.8490289110876255E-3</v>
      </c>
    </row>
    <row r="109" spans="2:4" x14ac:dyDescent="0.2">
      <c r="B109" t="s">
        <v>749</v>
      </c>
      <c r="C109" s="14">
        <v>59.51529</v>
      </c>
      <c r="D109" s="7">
        <f t="shared" si="1"/>
        <v>5.3458835834903073E-3</v>
      </c>
    </row>
    <row r="110" spans="2:4" x14ac:dyDescent="0.2">
      <c r="B110" t="s">
        <v>750</v>
      </c>
      <c r="C110" s="14">
        <v>59.8855</v>
      </c>
      <c r="D110" s="7">
        <f t="shared" si="1"/>
        <v>6.2204183160328164E-3</v>
      </c>
    </row>
    <row r="111" spans="2:4" x14ac:dyDescent="0.2">
      <c r="B111" t="s">
        <v>751</v>
      </c>
      <c r="C111" s="14">
        <v>60.038760000000003</v>
      </c>
      <c r="D111" s="7">
        <f t="shared" si="1"/>
        <v>2.5592171727715218E-3</v>
      </c>
    </row>
    <row r="112" spans="2:4" x14ac:dyDescent="0.2">
      <c r="B112" t="s">
        <v>752</v>
      </c>
      <c r="C112" s="14">
        <v>60.772219999999997</v>
      </c>
      <c r="D112" s="7">
        <f t="shared" si="1"/>
        <v>1.2216441512116427E-2</v>
      </c>
    </row>
    <row r="113" spans="2:4" x14ac:dyDescent="0.2">
      <c r="B113" t="s">
        <v>753</v>
      </c>
      <c r="C113" s="14">
        <v>61.1066</v>
      </c>
      <c r="D113" s="7">
        <f t="shared" si="1"/>
        <v>5.5021850444167963E-3</v>
      </c>
    </row>
    <row r="114" spans="2:4" x14ac:dyDescent="0.2">
      <c r="B114" t="s">
        <v>754</v>
      </c>
      <c r="C114" s="14">
        <v>61.245930000000001</v>
      </c>
      <c r="D114" s="7">
        <f t="shared" si="1"/>
        <v>2.2801137683980954E-3</v>
      </c>
    </row>
    <row r="115" spans="2:4" x14ac:dyDescent="0.2">
      <c r="B115" t="s">
        <v>755</v>
      </c>
      <c r="C115" s="14">
        <v>61.59225</v>
      </c>
      <c r="D115" s="7">
        <f t="shared" si="1"/>
        <v>5.6545798226919075E-3</v>
      </c>
    </row>
    <row r="116" spans="2:4" x14ac:dyDescent="0.2">
      <c r="B116" t="s">
        <v>756</v>
      </c>
      <c r="C116" s="14">
        <v>61.730580000000003</v>
      </c>
      <c r="D116" s="7">
        <f t="shared" si="1"/>
        <v>2.2458994435177182E-3</v>
      </c>
    </row>
    <row r="117" spans="2:4" x14ac:dyDescent="0.2">
      <c r="B117" t="s">
        <v>757</v>
      </c>
      <c r="C117" s="14">
        <v>61.817169999999997</v>
      </c>
      <c r="D117" s="7">
        <f t="shared" si="1"/>
        <v>1.4027083497352155E-3</v>
      </c>
    </row>
    <row r="118" spans="2:4" x14ac:dyDescent="0.2">
      <c r="B118" t="s">
        <v>758</v>
      </c>
      <c r="C118" s="14">
        <v>61.921660000000003</v>
      </c>
      <c r="D118" s="7">
        <f t="shared" si="1"/>
        <v>1.6903070781144613E-3</v>
      </c>
    </row>
    <row r="119" spans="2:4" x14ac:dyDescent="0.2">
      <c r="B119" t="s">
        <v>759</v>
      </c>
      <c r="C119" s="14">
        <v>62.036110000000001</v>
      </c>
      <c r="D119" s="7">
        <f t="shared" si="1"/>
        <v>1.8483031624152435E-3</v>
      </c>
    </row>
    <row r="120" spans="2:4" x14ac:dyDescent="0.2">
      <c r="B120" t="s">
        <v>760</v>
      </c>
      <c r="C120" s="14">
        <v>62.092829999999999</v>
      </c>
      <c r="D120" s="7">
        <f t="shared" si="1"/>
        <v>9.1430620005028551E-4</v>
      </c>
    </row>
    <row r="121" spans="2:4" x14ac:dyDescent="0.2">
      <c r="B121" t="s">
        <v>761</v>
      </c>
      <c r="C121" s="14">
        <v>62.33267</v>
      </c>
      <c r="D121" s="7">
        <f t="shared" si="1"/>
        <v>3.8626037821114512E-3</v>
      </c>
    </row>
    <row r="122" spans="2:4" x14ac:dyDescent="0.2">
      <c r="B122" t="s">
        <v>762</v>
      </c>
      <c r="C122" s="14">
        <v>62.454090000000001</v>
      </c>
      <c r="D122" s="7">
        <f t="shared" si="1"/>
        <v>1.9479351678661772E-3</v>
      </c>
    </row>
    <row r="123" spans="2:4" x14ac:dyDescent="0.2">
      <c r="B123" t="s">
        <v>763</v>
      </c>
      <c r="C123" s="14">
        <v>62.644170000000003</v>
      </c>
      <c r="D123" s="7">
        <f t="shared" si="1"/>
        <v>3.0435156448520573E-3</v>
      </c>
    </row>
    <row r="124" spans="2:4" x14ac:dyDescent="0.2">
      <c r="B124" t="s">
        <v>764</v>
      </c>
      <c r="C124" s="14">
        <v>63.539839999999998</v>
      </c>
      <c r="D124" s="7">
        <f t="shared" si="1"/>
        <v>1.4297739119218944E-2</v>
      </c>
    </row>
    <row r="125" spans="2:4" x14ac:dyDescent="0.2">
      <c r="B125" t="s">
        <v>765</v>
      </c>
      <c r="C125" s="14">
        <v>63.902090000000001</v>
      </c>
      <c r="D125" s="7">
        <f t="shared" si="1"/>
        <v>5.7011475005288581E-3</v>
      </c>
    </row>
    <row r="126" spans="2:4" x14ac:dyDescent="0.2">
      <c r="B126" t="s">
        <v>766</v>
      </c>
      <c r="C126" s="14">
        <v>64.199650000000005</v>
      </c>
      <c r="D126" s="7">
        <f t="shared" si="1"/>
        <v>4.6564987154567028E-3</v>
      </c>
    </row>
    <row r="127" spans="2:4" x14ac:dyDescent="0.2">
      <c r="B127" t="s">
        <v>767</v>
      </c>
      <c r="C127" s="14">
        <v>64.476309999999998</v>
      </c>
      <c r="D127" s="7">
        <f t="shared" si="1"/>
        <v>4.3093692878386491E-3</v>
      </c>
    </row>
    <row r="128" spans="2:4" x14ac:dyDescent="0.2">
      <c r="B128" t="s">
        <v>768</v>
      </c>
      <c r="C128" s="14">
        <v>64.426550000000006</v>
      </c>
      <c r="D128" s="7">
        <f t="shared" si="1"/>
        <v>-7.7175632414439033E-4</v>
      </c>
    </row>
    <row r="129" spans="2:4" x14ac:dyDescent="0.2">
      <c r="B129" t="s">
        <v>769</v>
      </c>
      <c r="C129" s="14">
        <v>64.28922</v>
      </c>
      <c r="D129" s="7">
        <f t="shared" si="1"/>
        <v>-2.1315746380957679E-3</v>
      </c>
    </row>
    <row r="130" spans="2:4" x14ac:dyDescent="0.2">
      <c r="B130" t="s">
        <v>770</v>
      </c>
      <c r="C130" s="14">
        <v>64.310109999999995</v>
      </c>
      <c r="D130" s="7">
        <f t="shared" si="1"/>
        <v>3.2493783561227119E-4</v>
      </c>
    </row>
    <row r="131" spans="2:4" x14ac:dyDescent="0.2">
      <c r="B131" t="s">
        <v>771</v>
      </c>
      <c r="C131" s="14">
        <v>64.576830000000001</v>
      </c>
      <c r="D131" s="7">
        <f t="shared" ref="D131:D194" si="2">C131/C130-1</f>
        <v>4.1474038840860761E-3</v>
      </c>
    </row>
    <row r="132" spans="2:4" x14ac:dyDescent="0.2">
      <c r="B132" t="s">
        <v>772</v>
      </c>
      <c r="C132" s="14">
        <v>64.664400000000001</v>
      </c>
      <c r="D132" s="7">
        <f t="shared" si="2"/>
        <v>1.3560591314252246E-3</v>
      </c>
    </row>
    <row r="133" spans="2:4" x14ac:dyDescent="0.2">
      <c r="B133" t="s">
        <v>773</v>
      </c>
      <c r="C133" s="14">
        <v>64.886330000000001</v>
      </c>
      <c r="D133" s="7">
        <f t="shared" si="2"/>
        <v>3.4320275143664425E-3</v>
      </c>
    </row>
    <row r="134" spans="2:4" x14ac:dyDescent="0.2">
      <c r="B134" t="s">
        <v>774</v>
      </c>
      <c r="C134" s="14">
        <v>64.932109999999994</v>
      </c>
      <c r="D134" s="7">
        <f t="shared" si="2"/>
        <v>7.0554152161150796E-4</v>
      </c>
    </row>
    <row r="135" spans="2:4" x14ac:dyDescent="0.2">
      <c r="B135" t="s">
        <v>775</v>
      </c>
      <c r="C135" s="14">
        <v>64.865430000000003</v>
      </c>
      <c r="D135" s="7">
        <f t="shared" si="2"/>
        <v>-1.0269187309636107E-3</v>
      </c>
    </row>
    <row r="136" spans="2:4" x14ac:dyDescent="0.2">
      <c r="B136" t="s">
        <v>776</v>
      </c>
      <c r="C136" s="14">
        <v>65.167969999999997</v>
      </c>
      <c r="D136" s="7">
        <f t="shared" si="2"/>
        <v>4.6641176972077592E-3</v>
      </c>
    </row>
    <row r="137" spans="2:4" x14ac:dyDescent="0.2">
      <c r="B137" t="s">
        <v>777</v>
      </c>
      <c r="C137" s="14">
        <v>65.551119999999997</v>
      </c>
      <c r="D137" s="7">
        <f t="shared" si="2"/>
        <v>5.8794220535027808E-3</v>
      </c>
    </row>
    <row r="138" spans="2:4" x14ac:dyDescent="0.2">
      <c r="B138" t="s">
        <v>778</v>
      </c>
      <c r="C138" s="14">
        <v>65.783000000000001</v>
      </c>
      <c r="D138" s="7">
        <f t="shared" si="2"/>
        <v>3.5373918859051834E-3</v>
      </c>
    </row>
    <row r="139" spans="2:4" x14ac:dyDescent="0.2">
      <c r="B139" t="s">
        <v>779</v>
      </c>
      <c r="C139" s="14">
        <v>66.311440000000005</v>
      </c>
      <c r="D139" s="7">
        <f t="shared" si="2"/>
        <v>8.0330784549200729E-3</v>
      </c>
    </row>
    <row r="140" spans="2:4" x14ac:dyDescent="0.2">
      <c r="B140" t="s">
        <v>780</v>
      </c>
      <c r="C140" s="14">
        <v>66.561229999999995</v>
      </c>
      <c r="D140" s="7">
        <f t="shared" si="2"/>
        <v>3.7669216654017124E-3</v>
      </c>
    </row>
    <row r="141" spans="2:4" x14ac:dyDescent="0.2">
      <c r="B141" t="s">
        <v>781</v>
      </c>
      <c r="C141" s="14">
        <v>66.530379999999994</v>
      </c>
      <c r="D141" s="7">
        <f t="shared" si="2"/>
        <v>-4.6348302157273036E-4</v>
      </c>
    </row>
    <row r="142" spans="2:4" x14ac:dyDescent="0.2">
      <c r="B142" t="s">
        <v>782</v>
      </c>
      <c r="C142" s="14">
        <v>66.628910000000005</v>
      </c>
      <c r="D142" s="7">
        <f t="shared" si="2"/>
        <v>1.4809775624311516E-3</v>
      </c>
    </row>
    <row r="143" spans="2:4" x14ac:dyDescent="0.2">
      <c r="B143" t="s">
        <v>783</v>
      </c>
      <c r="C143" s="14">
        <v>66.82396</v>
      </c>
      <c r="D143" s="7">
        <f t="shared" si="2"/>
        <v>2.9274079374852491E-3</v>
      </c>
    </row>
    <row r="144" spans="2:4" x14ac:dyDescent="0.2">
      <c r="B144" t="s">
        <v>784</v>
      </c>
      <c r="C144" s="14">
        <v>66.816990000000004</v>
      </c>
      <c r="D144" s="7">
        <f t="shared" si="2"/>
        <v>-1.043039053656436E-4</v>
      </c>
    </row>
    <row r="145" spans="2:4" x14ac:dyDescent="0.2">
      <c r="B145" t="s">
        <v>785</v>
      </c>
      <c r="C145" s="14">
        <v>66.780169999999998</v>
      </c>
      <c r="D145" s="7">
        <f t="shared" si="2"/>
        <v>-5.5105744811323465E-4</v>
      </c>
    </row>
    <row r="146" spans="2:4" x14ac:dyDescent="0.2">
      <c r="B146" t="s">
        <v>786</v>
      </c>
      <c r="C146" s="14">
        <v>66.903580000000005</v>
      </c>
      <c r="D146" s="7">
        <f t="shared" si="2"/>
        <v>1.8480036813324219E-3</v>
      </c>
    </row>
    <row r="147" spans="2:4" x14ac:dyDescent="0.2">
      <c r="B147" t="s">
        <v>787</v>
      </c>
      <c r="C147" s="14">
        <v>66.935419999999993</v>
      </c>
      <c r="D147" s="7">
        <f t="shared" si="2"/>
        <v>4.7590876302860963E-4</v>
      </c>
    </row>
    <row r="148" spans="2:4" x14ac:dyDescent="0.2">
      <c r="B148" t="s">
        <v>788</v>
      </c>
      <c r="C148" s="14">
        <v>67.341459999999998</v>
      </c>
      <c r="D148" s="7">
        <f t="shared" si="2"/>
        <v>6.0661455474546599E-3</v>
      </c>
    </row>
    <row r="149" spans="2:4" x14ac:dyDescent="0.2">
      <c r="B149" t="s">
        <v>789</v>
      </c>
      <c r="C149" s="14">
        <v>67.455910000000003</v>
      </c>
      <c r="D149" s="7">
        <f t="shared" si="2"/>
        <v>1.6995473516612236E-3</v>
      </c>
    </row>
    <row r="150" spans="2:4" x14ac:dyDescent="0.2">
      <c r="B150" t="s">
        <v>790</v>
      </c>
      <c r="C150" s="14">
        <v>67.544479999999993</v>
      </c>
      <c r="D150" s="7">
        <f t="shared" si="2"/>
        <v>1.3130057840742282E-3</v>
      </c>
    </row>
    <row r="151" spans="2:4" x14ac:dyDescent="0.2">
      <c r="B151" t="s">
        <v>791</v>
      </c>
      <c r="C151" s="14">
        <v>67.652950000000004</v>
      </c>
      <c r="D151" s="7">
        <f t="shared" si="2"/>
        <v>1.6059047312231289E-3</v>
      </c>
    </row>
    <row r="152" spans="2:4" x14ac:dyDescent="0.2">
      <c r="B152" t="s">
        <v>792</v>
      </c>
      <c r="C152" s="14">
        <v>68.063959999999994</v>
      </c>
      <c r="D152" s="7">
        <f t="shared" si="2"/>
        <v>6.0752709231450819E-3</v>
      </c>
    </row>
    <row r="153" spans="2:4" x14ac:dyDescent="0.2">
      <c r="B153" t="s">
        <v>793</v>
      </c>
      <c r="C153" s="14">
        <v>67.884829999999994</v>
      </c>
      <c r="D153" s="7">
        <f t="shared" si="2"/>
        <v>-2.6317892758517258E-3</v>
      </c>
    </row>
    <row r="154" spans="2:4" x14ac:dyDescent="0.2">
      <c r="B154" t="s">
        <v>794</v>
      </c>
      <c r="C154" s="14">
        <v>67.903739999999999</v>
      </c>
      <c r="D154" s="7">
        <f t="shared" si="2"/>
        <v>2.7856002585568973E-4</v>
      </c>
    </row>
    <row r="155" spans="2:4" x14ac:dyDescent="0.2">
      <c r="B155" t="s">
        <v>795</v>
      </c>
      <c r="C155" s="14">
        <v>68.229169999999996</v>
      </c>
      <c r="D155" s="7">
        <f t="shared" si="2"/>
        <v>4.7925195283793354E-3</v>
      </c>
    </row>
    <row r="156" spans="2:4" x14ac:dyDescent="0.2">
      <c r="B156" t="s">
        <v>796</v>
      </c>
      <c r="C156" s="14">
        <v>68.18638</v>
      </c>
      <c r="D156" s="7">
        <f t="shared" si="2"/>
        <v>-6.2715111439870519E-4</v>
      </c>
    </row>
    <row r="157" spans="2:4" x14ac:dyDescent="0.2">
      <c r="B157" t="s">
        <v>797</v>
      </c>
      <c r="C157" s="14">
        <v>68.149550000000005</v>
      </c>
      <c r="D157" s="7">
        <f t="shared" si="2"/>
        <v>-5.4013719455403564E-4</v>
      </c>
    </row>
    <row r="158" spans="2:4" x14ac:dyDescent="0.2">
      <c r="B158" t="s">
        <v>798</v>
      </c>
      <c r="C158" s="14">
        <v>68.420240000000007</v>
      </c>
      <c r="D158" s="7">
        <f t="shared" si="2"/>
        <v>3.9719998151124258E-3</v>
      </c>
    </row>
    <row r="159" spans="2:4" x14ac:dyDescent="0.2">
      <c r="B159" t="s">
        <v>799</v>
      </c>
      <c r="C159" s="14">
        <v>68.581469999999996</v>
      </c>
      <c r="D159" s="7">
        <f t="shared" si="2"/>
        <v>2.3564664491091403E-3</v>
      </c>
    </row>
    <row r="160" spans="2:4" x14ac:dyDescent="0.2">
      <c r="B160" t="s">
        <v>800</v>
      </c>
      <c r="C160" s="14">
        <v>68.674019999999999</v>
      </c>
      <c r="D160" s="7">
        <f t="shared" si="2"/>
        <v>1.3494898840751279E-3</v>
      </c>
    </row>
    <row r="161" spans="2:4" x14ac:dyDescent="0.2">
      <c r="B161" t="s">
        <v>801</v>
      </c>
      <c r="C161" s="14">
        <v>68.643169999999998</v>
      </c>
      <c r="D161" s="7">
        <f t="shared" si="2"/>
        <v>-4.4922373846767449E-4</v>
      </c>
    </row>
    <row r="162" spans="2:4" x14ac:dyDescent="0.2">
      <c r="B162" t="s">
        <v>802</v>
      </c>
      <c r="C162" s="14">
        <v>68.828270000000003</v>
      </c>
      <c r="D162" s="7">
        <f t="shared" si="2"/>
        <v>2.6965537867789102E-3</v>
      </c>
    </row>
    <row r="163" spans="2:4" x14ac:dyDescent="0.2">
      <c r="B163" t="s">
        <v>803</v>
      </c>
      <c r="C163" s="14">
        <v>69.319890000000001</v>
      </c>
      <c r="D163" s="7">
        <f t="shared" si="2"/>
        <v>7.1427045892624719E-3</v>
      </c>
    </row>
    <row r="164" spans="2:4" x14ac:dyDescent="0.2">
      <c r="B164" t="s">
        <v>804</v>
      </c>
      <c r="C164" s="14">
        <v>69.751810000000006</v>
      </c>
      <c r="D164" s="7">
        <f t="shared" si="2"/>
        <v>6.2308235053460947E-3</v>
      </c>
    </row>
    <row r="165" spans="2:4" x14ac:dyDescent="0.2">
      <c r="B165" t="s">
        <v>805</v>
      </c>
      <c r="C165" s="14">
        <v>69.841380000000001</v>
      </c>
      <c r="D165" s="7">
        <f t="shared" si="2"/>
        <v>1.284124383295504E-3</v>
      </c>
    </row>
    <row r="166" spans="2:4" x14ac:dyDescent="0.2">
      <c r="B166" t="s">
        <v>806</v>
      </c>
      <c r="C166" s="14">
        <v>69.986670000000004</v>
      </c>
      <c r="D166" s="7">
        <f t="shared" si="2"/>
        <v>2.0802853551862288E-3</v>
      </c>
    </row>
    <row r="167" spans="2:4" x14ac:dyDescent="0.2">
      <c r="B167" t="s">
        <v>807</v>
      </c>
      <c r="C167" s="14">
        <v>69.998609999999999</v>
      </c>
      <c r="D167" s="7">
        <f t="shared" si="2"/>
        <v>1.7060391643153316E-4</v>
      </c>
    </row>
    <row r="168" spans="2:4" x14ac:dyDescent="0.2">
      <c r="B168" t="s">
        <v>808</v>
      </c>
      <c r="C168" s="14">
        <v>69.915019999999998</v>
      </c>
      <c r="D168" s="7">
        <f t="shared" si="2"/>
        <v>-1.1941665698790294E-3</v>
      </c>
    </row>
    <row r="169" spans="2:4" x14ac:dyDescent="0.2">
      <c r="B169" t="s">
        <v>809</v>
      </c>
      <c r="C169" s="14">
        <v>70.164810000000003</v>
      </c>
      <c r="D169" s="7">
        <f t="shared" si="2"/>
        <v>3.5727659092423814E-3</v>
      </c>
    </row>
    <row r="170" spans="2:4" x14ac:dyDescent="0.2">
      <c r="B170" t="s">
        <v>810</v>
      </c>
      <c r="C170" s="14">
        <v>70.510140000000007</v>
      </c>
      <c r="D170" s="7">
        <f t="shared" si="2"/>
        <v>4.9216979280639617E-3</v>
      </c>
    </row>
    <row r="171" spans="2:4" x14ac:dyDescent="0.2">
      <c r="B171" t="s">
        <v>811</v>
      </c>
      <c r="C171" s="14">
        <v>70.758939999999996</v>
      </c>
      <c r="D171" s="7">
        <f t="shared" si="2"/>
        <v>3.528570500639816E-3</v>
      </c>
    </row>
    <row r="172" spans="2:4" x14ac:dyDescent="0.2">
      <c r="B172" t="s">
        <v>812</v>
      </c>
      <c r="C172" s="14">
        <v>70.526060000000001</v>
      </c>
      <c r="D172" s="7">
        <f t="shared" si="2"/>
        <v>-3.2911742318354476E-3</v>
      </c>
    </row>
    <row r="173" spans="2:4" x14ac:dyDescent="0.2">
      <c r="B173" t="s">
        <v>813</v>
      </c>
      <c r="C173" s="14">
        <v>70.548959999999994</v>
      </c>
      <c r="D173" s="7">
        <f t="shared" si="2"/>
        <v>3.2470267019024668E-4</v>
      </c>
    </row>
    <row r="174" spans="2:4" x14ac:dyDescent="0.2">
      <c r="B174" t="s">
        <v>814</v>
      </c>
      <c r="C174" s="14">
        <v>70.850489999999994</v>
      </c>
      <c r="D174" s="7">
        <f t="shared" si="2"/>
        <v>4.2740530831355539E-3</v>
      </c>
    </row>
    <row r="175" spans="2:4" x14ac:dyDescent="0.2">
      <c r="B175" t="s">
        <v>815</v>
      </c>
      <c r="C175" s="14">
        <v>71.301320000000004</v>
      </c>
      <c r="D175" s="7">
        <f t="shared" si="2"/>
        <v>6.3631176015861435E-3</v>
      </c>
    </row>
    <row r="176" spans="2:4" x14ac:dyDescent="0.2">
      <c r="B176" t="s">
        <v>816</v>
      </c>
      <c r="C176" s="14">
        <v>71.385909999999996</v>
      </c>
      <c r="D176" s="7">
        <f t="shared" si="2"/>
        <v>1.1863735482033899E-3</v>
      </c>
    </row>
    <row r="177" spans="2:4" x14ac:dyDescent="0.2">
      <c r="B177" t="s">
        <v>817</v>
      </c>
      <c r="C177" s="14">
        <v>71.495379999999997</v>
      </c>
      <c r="D177" s="7">
        <f t="shared" si="2"/>
        <v>1.5334958957586853E-3</v>
      </c>
    </row>
    <row r="178" spans="2:4" x14ac:dyDescent="0.2">
      <c r="B178" t="s">
        <v>818</v>
      </c>
      <c r="C178" s="14">
        <v>71.47945</v>
      </c>
      <c r="D178" s="7">
        <f t="shared" si="2"/>
        <v>-2.2281159985437782E-4</v>
      </c>
    </row>
    <row r="179" spans="2:4" x14ac:dyDescent="0.2">
      <c r="B179" t="s">
        <v>819</v>
      </c>
      <c r="C179" s="14">
        <v>71.367999999999995</v>
      </c>
      <c r="D179" s="7">
        <f t="shared" si="2"/>
        <v>-1.5591893893980302E-3</v>
      </c>
    </row>
    <row r="180" spans="2:4" x14ac:dyDescent="0.2">
      <c r="B180" t="s">
        <v>820</v>
      </c>
      <c r="C180" s="14">
        <v>71.352069999999998</v>
      </c>
      <c r="D180" s="7">
        <f t="shared" si="2"/>
        <v>-2.2320928147068209E-4</v>
      </c>
    </row>
    <row r="181" spans="2:4" x14ac:dyDescent="0.2">
      <c r="B181" t="s">
        <v>821</v>
      </c>
      <c r="C181" s="14">
        <v>71.54813</v>
      </c>
      <c r="D181" s="7">
        <f t="shared" si="2"/>
        <v>2.7477829304742851E-3</v>
      </c>
    </row>
    <row r="182" spans="2:4" x14ac:dyDescent="0.2">
      <c r="B182" t="s">
        <v>822</v>
      </c>
      <c r="C182" s="14">
        <v>71.965109999999996</v>
      </c>
      <c r="D182" s="7">
        <f t="shared" si="2"/>
        <v>5.8279650355641532E-3</v>
      </c>
    </row>
    <row r="183" spans="2:4" x14ac:dyDescent="0.2">
      <c r="B183" t="s">
        <v>823</v>
      </c>
      <c r="C183" s="14">
        <v>72.144239999999996</v>
      </c>
      <c r="D183" s="7">
        <f t="shared" si="2"/>
        <v>2.489122854116399E-3</v>
      </c>
    </row>
    <row r="184" spans="2:4" x14ac:dyDescent="0.2">
      <c r="B184" t="s">
        <v>824</v>
      </c>
      <c r="C184" s="14">
        <v>72.002920000000003</v>
      </c>
      <c r="D184" s="7">
        <f t="shared" si="2"/>
        <v>-1.9588535411835251E-3</v>
      </c>
    </row>
    <row r="185" spans="2:4" x14ac:dyDescent="0.2">
      <c r="B185" t="s">
        <v>825</v>
      </c>
      <c r="C185" s="14">
        <v>71.838719999999995</v>
      </c>
      <c r="D185" s="7">
        <f t="shared" si="2"/>
        <v>-2.2804630701089845E-3</v>
      </c>
    </row>
    <row r="186" spans="2:4" x14ac:dyDescent="0.2">
      <c r="B186" t="s">
        <v>826</v>
      </c>
      <c r="C186" s="14">
        <v>71.947199999999995</v>
      </c>
      <c r="D186" s="7">
        <f t="shared" si="2"/>
        <v>1.5100491768227364E-3</v>
      </c>
    </row>
    <row r="187" spans="2:4" x14ac:dyDescent="0.2">
      <c r="B187" t="s">
        <v>827</v>
      </c>
      <c r="C187" s="14">
        <v>72.786140000000003</v>
      </c>
      <c r="D187" s="7">
        <f t="shared" si="2"/>
        <v>1.1660495474459243E-2</v>
      </c>
    </row>
    <row r="188" spans="2:4" x14ac:dyDescent="0.2">
      <c r="B188" t="s">
        <v>828</v>
      </c>
      <c r="C188" s="14">
        <v>73.196160000000006</v>
      </c>
      <c r="D188" s="7">
        <f t="shared" si="2"/>
        <v>5.6332153346778657E-3</v>
      </c>
    </row>
    <row r="189" spans="2:4" x14ac:dyDescent="0.2">
      <c r="B189" t="s">
        <v>829</v>
      </c>
      <c r="C189" s="14">
        <v>73.562389999999994</v>
      </c>
      <c r="D189" s="7">
        <f t="shared" si="2"/>
        <v>5.0034045501838875E-3</v>
      </c>
    </row>
    <row r="190" spans="2:4" x14ac:dyDescent="0.2">
      <c r="B190" t="s">
        <v>830</v>
      </c>
      <c r="C190" s="14">
        <v>73.804209999999998</v>
      </c>
      <c r="D190" s="7">
        <f t="shared" si="2"/>
        <v>3.2872776428281014E-3</v>
      </c>
    </row>
    <row r="191" spans="2:4" x14ac:dyDescent="0.2">
      <c r="B191" t="s">
        <v>831</v>
      </c>
      <c r="C191" s="14">
        <v>73.833079999999995</v>
      </c>
      <c r="D191" s="7">
        <f t="shared" si="2"/>
        <v>3.911700972072385E-4</v>
      </c>
    </row>
    <row r="192" spans="2:4" x14ac:dyDescent="0.2">
      <c r="B192" t="s">
        <v>832</v>
      </c>
      <c r="C192" s="14">
        <v>73.766400000000004</v>
      </c>
      <c r="D192" s="7">
        <f t="shared" si="2"/>
        <v>-9.0311822288857702E-4</v>
      </c>
    </row>
    <row r="193" spans="2:4" x14ac:dyDescent="0.2">
      <c r="B193" t="s">
        <v>833</v>
      </c>
      <c r="C193" s="14">
        <v>74.066950000000006</v>
      </c>
      <c r="D193" s="7">
        <f t="shared" si="2"/>
        <v>4.074348212736334E-3</v>
      </c>
    </row>
    <row r="194" spans="2:4" x14ac:dyDescent="0.2">
      <c r="B194" t="s">
        <v>834</v>
      </c>
      <c r="C194" s="14">
        <v>74.652119999999996</v>
      </c>
      <c r="D194" s="7">
        <f t="shared" si="2"/>
        <v>7.9005548358612732E-3</v>
      </c>
    </row>
    <row r="195" spans="2:4" x14ac:dyDescent="0.2">
      <c r="B195" t="s">
        <v>835</v>
      </c>
      <c r="C195" s="14">
        <v>74.929779999999994</v>
      </c>
      <c r="D195" s="7">
        <f t="shared" ref="D195:D258" si="3">C195/C194-1</f>
        <v>3.7193853302490698E-3</v>
      </c>
    </row>
    <row r="196" spans="2:4" x14ac:dyDescent="0.2">
      <c r="B196" t="s">
        <v>836</v>
      </c>
      <c r="C196" s="14">
        <v>75.205439999999996</v>
      </c>
      <c r="D196" s="7">
        <f t="shared" si="3"/>
        <v>3.6789111085071546E-3</v>
      </c>
    </row>
    <row r="197" spans="2:4" x14ac:dyDescent="0.2">
      <c r="B197" t="s">
        <v>837</v>
      </c>
      <c r="C197" s="14">
        <v>75.298000000000002</v>
      </c>
      <c r="D197" s="7">
        <f t="shared" si="3"/>
        <v>1.2307620299809585E-3</v>
      </c>
    </row>
    <row r="198" spans="2:4" x14ac:dyDescent="0.2">
      <c r="B198" t="s">
        <v>838</v>
      </c>
      <c r="C198" s="14">
        <v>75.628399999999999</v>
      </c>
      <c r="D198" s="7">
        <f t="shared" si="3"/>
        <v>4.38789874897072E-3</v>
      </c>
    </row>
    <row r="199" spans="2:4" x14ac:dyDescent="0.2">
      <c r="B199" t="s">
        <v>839</v>
      </c>
      <c r="C199" s="14">
        <v>76.055340000000001</v>
      </c>
      <c r="D199" s="7">
        <f t="shared" si="3"/>
        <v>5.6452338010588576E-3</v>
      </c>
    </row>
    <row r="200" spans="2:4" x14ac:dyDescent="0.2">
      <c r="B200" t="s">
        <v>840</v>
      </c>
      <c r="C200" s="14">
        <v>76.69126</v>
      </c>
      <c r="D200" s="7">
        <f t="shared" si="3"/>
        <v>8.3612800889456551E-3</v>
      </c>
    </row>
    <row r="201" spans="2:4" x14ac:dyDescent="0.2">
      <c r="B201" t="s">
        <v>841</v>
      </c>
      <c r="C201" s="14">
        <v>76.891300000000001</v>
      </c>
      <c r="D201" s="7">
        <f t="shared" si="3"/>
        <v>2.6083806681491684E-3</v>
      </c>
    </row>
    <row r="202" spans="2:4" x14ac:dyDescent="0.2">
      <c r="B202" t="s">
        <v>842</v>
      </c>
      <c r="C202" s="14">
        <v>76.977869999999996</v>
      </c>
      <c r="D202" s="7">
        <f t="shared" si="3"/>
        <v>1.125875099003304E-3</v>
      </c>
    </row>
    <row r="203" spans="2:4" x14ac:dyDescent="0.2">
      <c r="B203" t="s">
        <v>843</v>
      </c>
      <c r="C203" s="14">
        <v>76.829589999999996</v>
      </c>
      <c r="D203" s="7">
        <f t="shared" si="3"/>
        <v>-1.9262679001120775E-3</v>
      </c>
    </row>
    <row r="204" spans="2:4" x14ac:dyDescent="0.2">
      <c r="B204" t="s">
        <v>844</v>
      </c>
      <c r="C204" s="14">
        <v>76.802719999999994</v>
      </c>
      <c r="D204" s="7">
        <f t="shared" si="3"/>
        <v>-3.4973504349045115E-4</v>
      </c>
    </row>
    <row r="205" spans="2:4" x14ac:dyDescent="0.2">
      <c r="B205" t="s">
        <v>845</v>
      </c>
      <c r="C205" s="14">
        <v>77.100279999999998</v>
      </c>
      <c r="D205" s="7">
        <f t="shared" si="3"/>
        <v>3.8743419503892707E-3</v>
      </c>
    </row>
    <row r="206" spans="2:4" x14ac:dyDescent="0.2">
      <c r="B206" t="s">
        <v>846</v>
      </c>
      <c r="C206" s="14">
        <v>77.612809999999996</v>
      </c>
      <c r="D206" s="7">
        <f t="shared" si="3"/>
        <v>6.6475763771545182E-3</v>
      </c>
    </row>
    <row r="207" spans="2:4" x14ac:dyDescent="0.2">
      <c r="B207" t="s">
        <v>847</v>
      </c>
      <c r="C207" s="14">
        <v>77.765069999999994</v>
      </c>
      <c r="D207" s="7">
        <f t="shared" si="3"/>
        <v>1.9617895551005127E-3</v>
      </c>
    </row>
    <row r="208" spans="2:4" x14ac:dyDescent="0.2">
      <c r="B208" t="s">
        <v>848</v>
      </c>
      <c r="C208" s="14">
        <v>77.889470000000003</v>
      </c>
      <c r="D208" s="7">
        <f t="shared" si="3"/>
        <v>1.599689937911819E-3</v>
      </c>
    </row>
    <row r="209" spans="2:4" x14ac:dyDescent="0.2">
      <c r="B209" t="s">
        <v>849</v>
      </c>
      <c r="C209" s="14">
        <v>77.755120000000005</v>
      </c>
      <c r="D209" s="7">
        <f t="shared" si="3"/>
        <v>-1.7248801410510994E-3</v>
      </c>
    </row>
    <row r="210" spans="2:4" x14ac:dyDescent="0.2">
      <c r="B210" t="s">
        <v>850</v>
      </c>
      <c r="C210" s="14">
        <v>78.090500000000006</v>
      </c>
      <c r="D210" s="7">
        <f t="shared" si="3"/>
        <v>4.3132850929945565E-3</v>
      </c>
    </row>
    <row r="211" spans="2:4" x14ac:dyDescent="0.2">
      <c r="B211" t="s">
        <v>851</v>
      </c>
      <c r="C211" s="14">
        <v>78.724429999999998</v>
      </c>
      <c r="D211" s="7">
        <f t="shared" si="3"/>
        <v>8.1178888597204235E-3</v>
      </c>
    </row>
    <row r="212" spans="2:4" x14ac:dyDescent="0.2">
      <c r="B212" t="s">
        <v>852</v>
      </c>
      <c r="C212" s="14">
        <v>79.243920000000003</v>
      </c>
      <c r="D212" s="7">
        <f t="shared" si="3"/>
        <v>6.5988410459116853E-3</v>
      </c>
    </row>
    <row r="213" spans="2:4" x14ac:dyDescent="0.2">
      <c r="B213" t="s">
        <v>853</v>
      </c>
      <c r="C213" s="14">
        <v>79.499690000000001</v>
      </c>
      <c r="D213" s="7">
        <f t="shared" si="3"/>
        <v>3.2276293247481824E-3</v>
      </c>
    </row>
    <row r="214" spans="2:4" x14ac:dyDescent="0.2">
      <c r="B214" t="s">
        <v>854</v>
      </c>
      <c r="C214" s="14">
        <v>79.636020000000002</v>
      </c>
      <c r="D214" s="7">
        <f t="shared" si="3"/>
        <v>1.7148494541299186E-3</v>
      </c>
    </row>
    <row r="215" spans="2:4" x14ac:dyDescent="0.2">
      <c r="B215" t="s">
        <v>855</v>
      </c>
      <c r="C215" s="14">
        <v>79.694739999999996</v>
      </c>
      <c r="D215" s="7">
        <f t="shared" si="3"/>
        <v>7.373547799098823E-4</v>
      </c>
    </row>
    <row r="216" spans="2:4" x14ac:dyDescent="0.2">
      <c r="B216" t="s">
        <v>856</v>
      </c>
      <c r="C216" s="14">
        <v>79.647970000000001</v>
      </c>
      <c r="D216" s="7">
        <f t="shared" si="3"/>
        <v>-5.8686432755783446E-4</v>
      </c>
    </row>
    <row r="217" spans="2:4" x14ac:dyDescent="0.2">
      <c r="B217" t="s">
        <v>857</v>
      </c>
      <c r="C217" s="14">
        <v>80.161479999999997</v>
      </c>
      <c r="D217" s="7">
        <f t="shared" si="3"/>
        <v>6.4472452970238958E-3</v>
      </c>
    </row>
    <row r="218" spans="2:4" x14ac:dyDescent="0.2">
      <c r="B218" t="s">
        <v>858</v>
      </c>
      <c r="C218" s="14">
        <v>80.742679999999993</v>
      </c>
      <c r="D218" s="7">
        <f t="shared" si="3"/>
        <v>7.2503651379689504E-3</v>
      </c>
    </row>
    <row r="219" spans="2:4" x14ac:dyDescent="0.2">
      <c r="B219" t="s">
        <v>859</v>
      </c>
      <c r="C219" s="14">
        <v>80.854140000000001</v>
      </c>
      <c r="D219" s="7">
        <f t="shared" si="3"/>
        <v>1.3804347341457301E-3</v>
      </c>
    </row>
    <row r="220" spans="2:4" x14ac:dyDescent="0.2">
      <c r="B220" t="s">
        <v>860</v>
      </c>
      <c r="C220" s="14">
        <v>80.973560000000006</v>
      </c>
      <c r="D220" s="7">
        <f t="shared" si="3"/>
        <v>1.4769806468784008E-3</v>
      </c>
    </row>
    <row r="221" spans="2:4" x14ac:dyDescent="0.2">
      <c r="B221" t="s">
        <v>861</v>
      </c>
      <c r="C221" s="14">
        <v>80.960620000000006</v>
      </c>
      <c r="D221" s="7">
        <f t="shared" si="3"/>
        <v>-1.5980525001002555E-4</v>
      </c>
    </row>
    <row r="222" spans="2:4" x14ac:dyDescent="0.2">
      <c r="B222" t="s">
        <v>862</v>
      </c>
      <c r="C222" s="14">
        <v>81.017349999999993</v>
      </c>
      <c r="D222" s="7">
        <f t="shared" si="3"/>
        <v>7.0071103704472115E-4</v>
      </c>
    </row>
    <row r="223" spans="2:4" x14ac:dyDescent="0.2">
      <c r="B223" t="s">
        <v>863</v>
      </c>
      <c r="C223" s="14">
        <v>81.640339999999995</v>
      </c>
      <c r="D223" s="7">
        <f t="shared" si="3"/>
        <v>7.6895874772502371E-3</v>
      </c>
    </row>
    <row r="224" spans="2:4" x14ac:dyDescent="0.2">
      <c r="B224" t="s">
        <v>864</v>
      </c>
      <c r="C224" s="14">
        <v>82.100110000000001</v>
      </c>
      <c r="D224" s="7">
        <f t="shared" si="3"/>
        <v>5.6316521954711263E-3</v>
      </c>
    </row>
    <row r="225" spans="2:4" x14ac:dyDescent="0.2">
      <c r="B225" t="s">
        <v>865</v>
      </c>
      <c r="C225" s="14">
        <v>82.096130000000002</v>
      </c>
      <c r="D225" s="7">
        <f t="shared" si="3"/>
        <v>-4.847740155278224E-5</v>
      </c>
    </row>
    <row r="226" spans="2:4" x14ac:dyDescent="0.2">
      <c r="B226" t="s">
        <v>866</v>
      </c>
      <c r="C226" s="14">
        <v>81.8553</v>
      </c>
      <c r="D226" s="7">
        <f t="shared" si="3"/>
        <v>-2.9335122130604852E-3</v>
      </c>
    </row>
    <row r="227" spans="2:4" x14ac:dyDescent="0.2">
      <c r="B227" t="s">
        <v>867</v>
      </c>
      <c r="C227" s="14">
        <v>81.895099999999999</v>
      </c>
      <c r="D227" s="7">
        <f t="shared" si="3"/>
        <v>4.8622386088625902E-4</v>
      </c>
    </row>
    <row r="228" spans="2:4" x14ac:dyDescent="0.2">
      <c r="B228" t="s">
        <v>868</v>
      </c>
      <c r="C228" s="14">
        <v>82.050349999999995</v>
      </c>
      <c r="D228" s="7">
        <f t="shared" si="3"/>
        <v>1.8957178146188358E-3</v>
      </c>
    </row>
    <row r="229" spans="2:4" x14ac:dyDescent="0.2">
      <c r="B229" t="s">
        <v>869</v>
      </c>
      <c r="C229" s="14">
        <v>82.496200000000002</v>
      </c>
      <c r="D229" s="7">
        <f t="shared" si="3"/>
        <v>5.4338586002375955E-3</v>
      </c>
    </row>
    <row r="230" spans="2:4" x14ac:dyDescent="0.2">
      <c r="B230" t="s">
        <v>870</v>
      </c>
      <c r="C230" s="14">
        <v>82.725089999999994</v>
      </c>
      <c r="D230" s="7">
        <f t="shared" si="3"/>
        <v>2.7745520399726775E-3</v>
      </c>
    </row>
    <row r="231" spans="2:4" x14ac:dyDescent="0.2">
      <c r="B231" t="s">
        <v>871</v>
      </c>
      <c r="C231" s="14">
        <v>82.772869999999998</v>
      </c>
      <c r="D231" s="7">
        <f t="shared" si="3"/>
        <v>5.7757567867255943E-4</v>
      </c>
    </row>
    <row r="232" spans="2:4" x14ac:dyDescent="0.2">
      <c r="B232" t="s">
        <v>872</v>
      </c>
      <c r="C232" s="14">
        <v>82.777839999999998</v>
      </c>
      <c r="D232" s="7">
        <f t="shared" si="3"/>
        <v>6.0043828370437424E-5</v>
      </c>
    </row>
    <row r="233" spans="2:4" x14ac:dyDescent="0.2">
      <c r="B233" t="s">
        <v>873</v>
      </c>
      <c r="C233" s="14">
        <v>82.652439999999999</v>
      </c>
      <c r="D233" s="7">
        <f t="shared" si="3"/>
        <v>-1.5148981901436098E-3</v>
      </c>
    </row>
    <row r="234" spans="2:4" x14ac:dyDescent="0.2">
      <c r="B234" t="s">
        <v>874</v>
      </c>
      <c r="C234" s="14">
        <v>82.843519999999998</v>
      </c>
      <c r="D234" s="7">
        <f t="shared" si="3"/>
        <v>2.3118494747402796E-3</v>
      </c>
    </row>
    <row r="235" spans="2:4" x14ac:dyDescent="0.2">
      <c r="B235" t="s">
        <v>875</v>
      </c>
      <c r="C235" s="14">
        <v>83.548109999999994</v>
      </c>
      <c r="D235" s="7">
        <f t="shared" si="3"/>
        <v>8.5050707647380541E-3</v>
      </c>
    </row>
    <row r="236" spans="2:4" x14ac:dyDescent="0.2">
      <c r="B236" t="s">
        <v>876</v>
      </c>
      <c r="C236" s="14">
        <v>84.094470000000001</v>
      </c>
      <c r="D236" s="7">
        <f t="shared" si="3"/>
        <v>6.539465704251235E-3</v>
      </c>
    </row>
    <row r="237" spans="2:4" x14ac:dyDescent="0.2">
      <c r="B237" t="s">
        <v>877</v>
      </c>
      <c r="C237" s="14">
        <v>84.283559999999994</v>
      </c>
      <c r="D237" s="7">
        <f t="shared" si="3"/>
        <v>2.248542621173355E-3</v>
      </c>
    </row>
    <row r="238" spans="2:4" x14ac:dyDescent="0.2">
      <c r="B238" t="s">
        <v>878</v>
      </c>
      <c r="C238" s="14">
        <v>84.12433</v>
      </c>
      <c r="D238" s="7">
        <f t="shared" si="3"/>
        <v>-1.8892177786509201E-3</v>
      </c>
    </row>
    <row r="239" spans="2:4" x14ac:dyDescent="0.2">
      <c r="B239" t="s">
        <v>879</v>
      </c>
      <c r="C239" s="14">
        <v>83.831739999999996</v>
      </c>
      <c r="D239" s="7">
        <f t="shared" si="3"/>
        <v>-3.4780663334852413E-3</v>
      </c>
    </row>
    <row r="240" spans="2:4" x14ac:dyDescent="0.2">
      <c r="B240" t="s">
        <v>880</v>
      </c>
      <c r="C240" s="14">
        <v>83.765069999999994</v>
      </c>
      <c r="D240" s="7">
        <f t="shared" si="3"/>
        <v>-7.9528350479185494E-4</v>
      </c>
    </row>
    <row r="241" spans="2:4" x14ac:dyDescent="0.2">
      <c r="B241" t="s">
        <v>881</v>
      </c>
      <c r="C241" s="14">
        <v>84.305449999999993</v>
      </c>
      <c r="D241" s="7">
        <f t="shared" si="3"/>
        <v>6.4511376878213511E-3</v>
      </c>
    </row>
    <row r="242" spans="2:4" x14ac:dyDescent="0.2">
      <c r="B242" t="s">
        <v>882</v>
      </c>
      <c r="C242" s="14">
        <v>84.766229999999993</v>
      </c>
      <c r="D242" s="7">
        <f t="shared" si="3"/>
        <v>5.4656015714287243E-3</v>
      </c>
    </row>
    <row r="243" spans="2:4" x14ac:dyDescent="0.2">
      <c r="B243" t="s">
        <v>883</v>
      </c>
      <c r="C243" s="14">
        <v>84.831909999999993</v>
      </c>
      <c r="D243" s="7">
        <f t="shared" si="3"/>
        <v>7.7483686604917779E-4</v>
      </c>
    </row>
    <row r="244" spans="2:4" x14ac:dyDescent="0.2">
      <c r="B244" t="s">
        <v>884</v>
      </c>
      <c r="C244" s="14">
        <v>84.446770000000001</v>
      </c>
      <c r="D244" s="7">
        <f t="shared" si="3"/>
        <v>-4.5400368799900503E-3</v>
      </c>
    </row>
    <row r="245" spans="2:4" x14ac:dyDescent="0.2">
      <c r="B245" t="s">
        <v>885</v>
      </c>
      <c r="C245" s="14">
        <v>84.410939999999997</v>
      </c>
      <c r="D245" s="7">
        <f t="shared" si="3"/>
        <v>-4.2429094682960855E-4</v>
      </c>
    </row>
    <row r="246" spans="2:4" x14ac:dyDescent="0.2">
      <c r="B246" t="s">
        <v>886</v>
      </c>
      <c r="C246" s="14">
        <v>84.699550000000002</v>
      </c>
      <c r="D246" s="7">
        <f t="shared" si="3"/>
        <v>3.4191065755222461E-3</v>
      </c>
    </row>
    <row r="247" spans="2:4" x14ac:dyDescent="0.2">
      <c r="B247" t="s">
        <v>887</v>
      </c>
      <c r="C247" s="14">
        <v>85.275760000000005</v>
      </c>
      <c r="D247" s="7">
        <f t="shared" si="3"/>
        <v>6.8029877372430825E-3</v>
      </c>
    </row>
    <row r="248" spans="2:4" x14ac:dyDescent="0.2">
      <c r="B248" t="s">
        <v>888</v>
      </c>
      <c r="C248" s="14">
        <v>85.631039999999999</v>
      </c>
      <c r="D248" s="7">
        <f t="shared" si="3"/>
        <v>4.1662484157278801E-3</v>
      </c>
    </row>
    <row r="249" spans="2:4" x14ac:dyDescent="0.2">
      <c r="B249" t="s">
        <v>889</v>
      </c>
      <c r="C249" s="14">
        <v>85.651949999999999</v>
      </c>
      <c r="D249" s="7">
        <f t="shared" si="3"/>
        <v>2.4418715456442364E-4</v>
      </c>
    </row>
    <row r="250" spans="2:4" x14ac:dyDescent="0.2">
      <c r="B250" t="s">
        <v>890</v>
      </c>
      <c r="C250" s="14">
        <v>85.909700000000001</v>
      </c>
      <c r="D250" s="7">
        <f t="shared" si="3"/>
        <v>3.0092718262690887E-3</v>
      </c>
    </row>
    <row r="251" spans="2:4" x14ac:dyDescent="0.2">
      <c r="B251" t="s">
        <v>891</v>
      </c>
      <c r="C251" s="14">
        <v>86.004239999999996</v>
      </c>
      <c r="D251" s="7">
        <f t="shared" si="3"/>
        <v>1.1004578062778769E-3</v>
      </c>
    </row>
    <row r="252" spans="2:4" x14ac:dyDescent="0.2">
      <c r="B252" t="s">
        <v>892</v>
      </c>
      <c r="C252" s="14">
        <v>86.169439999999994</v>
      </c>
      <c r="D252" s="7">
        <f t="shared" si="3"/>
        <v>1.9208355308995007E-3</v>
      </c>
    </row>
    <row r="253" spans="2:4" x14ac:dyDescent="0.2">
      <c r="B253" t="s">
        <v>893</v>
      </c>
      <c r="C253" s="14">
        <v>86.572490000000002</v>
      </c>
      <c r="D253" s="7">
        <f t="shared" si="3"/>
        <v>4.6774123169421866E-3</v>
      </c>
    </row>
    <row r="254" spans="2:4" x14ac:dyDescent="0.2">
      <c r="B254" t="s">
        <v>894</v>
      </c>
      <c r="C254" s="14">
        <v>86.935739999999996</v>
      </c>
      <c r="D254" s="7">
        <f t="shared" si="3"/>
        <v>4.1959056508595882E-3</v>
      </c>
    </row>
    <row r="255" spans="2:4" x14ac:dyDescent="0.2">
      <c r="B255" t="s">
        <v>895</v>
      </c>
      <c r="C255" s="14">
        <v>87.021320000000003</v>
      </c>
      <c r="D255" s="7">
        <f t="shared" si="3"/>
        <v>9.8440526301390996E-4</v>
      </c>
    </row>
    <row r="256" spans="2:4" x14ac:dyDescent="0.2">
      <c r="B256" t="s">
        <v>896</v>
      </c>
      <c r="C256" s="14">
        <v>86.728740000000002</v>
      </c>
      <c r="D256" s="7">
        <f t="shared" si="3"/>
        <v>-3.3621645821966251E-3</v>
      </c>
    </row>
    <row r="257" spans="2:4" x14ac:dyDescent="0.2">
      <c r="B257" t="s">
        <v>897</v>
      </c>
      <c r="C257" s="14">
        <v>86.906880000000001</v>
      </c>
      <c r="D257" s="7">
        <f t="shared" si="3"/>
        <v>2.053990407332007E-3</v>
      </c>
    </row>
    <row r="258" spans="2:4" x14ac:dyDescent="0.2">
      <c r="B258" t="s">
        <v>898</v>
      </c>
      <c r="C258" s="14">
        <v>88.003579999999999</v>
      </c>
      <c r="D258" s="7">
        <f t="shared" si="3"/>
        <v>1.2619254079768938E-2</v>
      </c>
    </row>
    <row r="259" spans="2:4" x14ac:dyDescent="0.2">
      <c r="B259" t="s">
        <v>899</v>
      </c>
      <c r="C259" s="14">
        <v>88.458370000000002</v>
      </c>
      <c r="D259" s="7">
        <f t="shared" ref="D259:D322" si="4">C259/C258-1</f>
        <v>5.1678579439609074E-3</v>
      </c>
    </row>
    <row r="260" spans="2:4" x14ac:dyDescent="0.2">
      <c r="B260" t="s">
        <v>900</v>
      </c>
      <c r="C260" s="14">
        <v>88.838539999999995</v>
      </c>
      <c r="D260" s="7">
        <f t="shared" si="4"/>
        <v>4.2977278464433333E-3</v>
      </c>
    </row>
    <row r="261" spans="2:4" x14ac:dyDescent="0.2">
      <c r="B261" t="s">
        <v>901</v>
      </c>
      <c r="C261" s="14">
        <v>88.796750000000003</v>
      </c>
      <c r="D261" s="7">
        <f t="shared" si="4"/>
        <v>-4.7040394855646372E-4</v>
      </c>
    </row>
    <row r="262" spans="2:4" x14ac:dyDescent="0.2">
      <c r="B262" t="s">
        <v>902</v>
      </c>
      <c r="C262" s="14">
        <v>88.590739999999997</v>
      </c>
      <c r="D262" s="7">
        <f t="shared" si="4"/>
        <v>-2.3200173429771542E-3</v>
      </c>
    </row>
    <row r="263" spans="2:4" x14ac:dyDescent="0.2">
      <c r="B263" t="s">
        <v>903</v>
      </c>
      <c r="C263" s="14">
        <v>88.454400000000007</v>
      </c>
      <c r="D263" s="7">
        <f t="shared" si="4"/>
        <v>-1.5389870318274212E-3</v>
      </c>
    </row>
    <row r="264" spans="2:4" x14ac:dyDescent="0.2">
      <c r="B264" t="s">
        <v>904</v>
      </c>
      <c r="C264" s="14">
        <v>88.823610000000002</v>
      </c>
      <c r="D264" s="7">
        <f t="shared" si="4"/>
        <v>4.1740150857390024E-3</v>
      </c>
    </row>
    <row r="265" spans="2:4" x14ac:dyDescent="0.2">
      <c r="B265" t="s">
        <v>905</v>
      </c>
      <c r="C265" s="14">
        <v>88.886309999999995</v>
      </c>
      <c r="D265" s="7">
        <f t="shared" si="4"/>
        <v>7.0589339928872619E-4</v>
      </c>
    </row>
    <row r="266" spans="2:4" x14ac:dyDescent="0.2">
      <c r="B266" t="s">
        <v>906</v>
      </c>
      <c r="C266" s="14">
        <v>89.006730000000005</v>
      </c>
      <c r="D266" s="7">
        <f t="shared" si="4"/>
        <v>1.3547643050995095E-3</v>
      </c>
    </row>
    <row r="267" spans="2:4" x14ac:dyDescent="0.2">
      <c r="B267" t="s">
        <v>907</v>
      </c>
      <c r="C267" s="14">
        <v>89.203770000000006</v>
      </c>
      <c r="D267" s="7">
        <f t="shared" si="4"/>
        <v>2.2137651838236572E-3</v>
      </c>
    </row>
    <row r="268" spans="2:4" x14ac:dyDescent="0.2">
      <c r="B268" t="s">
        <v>908</v>
      </c>
      <c r="C268" s="14">
        <v>88.959950000000006</v>
      </c>
      <c r="D268" s="7">
        <f t="shared" si="4"/>
        <v>-2.7332925503036343E-3</v>
      </c>
    </row>
    <row r="269" spans="2:4" x14ac:dyDescent="0.2">
      <c r="B269" t="s">
        <v>909</v>
      </c>
      <c r="C269" s="14">
        <v>88.94502</v>
      </c>
      <c r="D269" s="7">
        <f t="shared" si="4"/>
        <v>-1.6782833173811795E-4</v>
      </c>
    </row>
    <row r="270" spans="2:4" x14ac:dyDescent="0.2">
      <c r="B270" t="s">
        <v>910</v>
      </c>
      <c r="C270" s="14">
        <v>90.055660000000003</v>
      </c>
      <c r="D270" s="7">
        <f t="shared" si="4"/>
        <v>1.2486814888568176E-2</v>
      </c>
    </row>
    <row r="271" spans="2:4" x14ac:dyDescent="0.2">
      <c r="B271" t="s">
        <v>911</v>
      </c>
      <c r="C271" s="14">
        <v>90.878680000000003</v>
      </c>
      <c r="D271" s="7">
        <f t="shared" si="4"/>
        <v>9.1390146938015171E-3</v>
      </c>
    </row>
    <row r="272" spans="2:4" x14ac:dyDescent="0.2">
      <c r="B272" t="s">
        <v>912</v>
      </c>
      <c r="C272" s="14">
        <v>91.011039999999994</v>
      </c>
      <c r="D272" s="7">
        <f t="shared" si="4"/>
        <v>1.4564472107208015E-3</v>
      </c>
    </row>
    <row r="273" spans="2:4" x14ac:dyDescent="0.2">
      <c r="B273" t="s">
        <v>913</v>
      </c>
      <c r="C273" s="14">
        <v>90.964259999999996</v>
      </c>
      <c r="D273" s="7">
        <f t="shared" si="4"/>
        <v>-5.1400357582986889E-4</v>
      </c>
    </row>
    <row r="274" spans="2:4" x14ac:dyDescent="0.2">
      <c r="B274" t="s">
        <v>914</v>
      </c>
      <c r="C274" s="14">
        <v>90.701530000000005</v>
      </c>
      <c r="D274" s="7">
        <f t="shared" si="4"/>
        <v>-2.8882772200861107E-3</v>
      </c>
    </row>
    <row r="275" spans="2:4" x14ac:dyDescent="0.2">
      <c r="B275" t="s">
        <v>915</v>
      </c>
      <c r="C275" s="14">
        <v>90.27261</v>
      </c>
      <c r="D275" s="7">
        <f t="shared" si="4"/>
        <v>-4.7289169212471061E-3</v>
      </c>
    </row>
    <row r="276" spans="2:4" x14ac:dyDescent="0.2">
      <c r="B276" t="s">
        <v>916</v>
      </c>
      <c r="C276" s="14">
        <v>90.676649999999995</v>
      </c>
      <c r="D276" s="7">
        <f t="shared" si="4"/>
        <v>4.4757762072016316E-3</v>
      </c>
    </row>
    <row r="277" spans="2:4" x14ac:dyDescent="0.2">
      <c r="B277" t="s">
        <v>917</v>
      </c>
      <c r="C277" s="14">
        <v>91.175250000000005</v>
      </c>
      <c r="D277" s="7">
        <f t="shared" si="4"/>
        <v>5.4986592468955209E-3</v>
      </c>
    </row>
    <row r="278" spans="2:4" x14ac:dyDescent="0.2">
      <c r="B278" t="s">
        <v>918</v>
      </c>
      <c r="C278" s="14">
        <v>91.491709999999998</v>
      </c>
      <c r="D278" s="7">
        <f t="shared" si="4"/>
        <v>3.4708980781517074E-3</v>
      </c>
    </row>
    <row r="279" spans="2:4" x14ac:dyDescent="0.2">
      <c r="B279" t="s">
        <v>919</v>
      </c>
      <c r="C279" s="14">
        <v>91.595209999999994</v>
      </c>
      <c r="D279" s="7">
        <f t="shared" si="4"/>
        <v>1.1312500334730302E-3</v>
      </c>
    </row>
    <row r="280" spans="2:4" x14ac:dyDescent="0.2">
      <c r="B280" t="s">
        <v>920</v>
      </c>
      <c r="C280" s="14">
        <v>91.479770000000002</v>
      </c>
      <c r="D280" s="7">
        <f t="shared" si="4"/>
        <v>-1.2603279145273483E-3</v>
      </c>
    </row>
    <row r="281" spans="2:4" x14ac:dyDescent="0.2">
      <c r="B281" t="s">
        <v>921</v>
      </c>
      <c r="C281" s="14">
        <v>91.488730000000004</v>
      </c>
      <c r="D281" s="7">
        <f t="shared" si="4"/>
        <v>9.7945152245149103E-5</v>
      </c>
    </row>
    <row r="282" spans="2:4" x14ac:dyDescent="0.2">
      <c r="B282" t="s">
        <v>922</v>
      </c>
      <c r="C282" s="14">
        <v>92.843180000000004</v>
      </c>
      <c r="D282" s="7">
        <f t="shared" si="4"/>
        <v>1.4804555708664902E-2</v>
      </c>
    </row>
    <row r="283" spans="2:4" x14ac:dyDescent="0.2">
      <c r="B283" t="s">
        <v>923</v>
      </c>
      <c r="C283" s="14">
        <v>93.133769999999998</v>
      </c>
      <c r="D283" s="7">
        <f t="shared" si="4"/>
        <v>3.1299014100980571E-3</v>
      </c>
    </row>
    <row r="284" spans="2:4" x14ac:dyDescent="0.2">
      <c r="B284" t="s">
        <v>924</v>
      </c>
      <c r="C284" s="14">
        <v>93.541799999999995</v>
      </c>
      <c r="D284" s="7">
        <f t="shared" si="4"/>
        <v>4.3811176117964923E-3</v>
      </c>
    </row>
    <row r="285" spans="2:4" x14ac:dyDescent="0.2">
      <c r="B285" t="s">
        <v>925</v>
      </c>
      <c r="C285" s="14">
        <v>94.010540000000006</v>
      </c>
      <c r="D285" s="7">
        <f t="shared" si="4"/>
        <v>5.0110218105703375E-3</v>
      </c>
    </row>
    <row r="286" spans="2:4" x14ac:dyDescent="0.2">
      <c r="B286" t="s">
        <v>926</v>
      </c>
      <c r="C286" s="14">
        <v>93.466170000000005</v>
      </c>
      <c r="D286" s="7">
        <f t="shared" si="4"/>
        <v>-5.7905209352058229E-3</v>
      </c>
    </row>
    <row r="287" spans="2:4" x14ac:dyDescent="0.2">
      <c r="B287" t="s">
        <v>927</v>
      </c>
      <c r="C287" s="14">
        <v>92.994450000000001</v>
      </c>
      <c r="D287" s="7">
        <f t="shared" si="4"/>
        <v>-5.0469597716479297E-3</v>
      </c>
    </row>
    <row r="288" spans="2:4" x14ac:dyDescent="0.2">
      <c r="B288" t="s">
        <v>928</v>
      </c>
      <c r="C288" s="14">
        <v>93.491050000000001</v>
      </c>
      <c r="D288" s="7">
        <f t="shared" si="4"/>
        <v>5.340103629840387E-3</v>
      </c>
    </row>
    <row r="289" spans="2:4" x14ac:dyDescent="0.2">
      <c r="B289" t="s">
        <v>929</v>
      </c>
      <c r="C289" s="14">
        <v>93.34675</v>
      </c>
      <c r="D289" s="7">
        <f t="shared" si="4"/>
        <v>-1.543463251295174E-3</v>
      </c>
    </row>
    <row r="290" spans="2:4" x14ac:dyDescent="0.2">
      <c r="B290" t="s">
        <v>930</v>
      </c>
      <c r="C290" s="14">
        <v>92.751630000000006</v>
      </c>
      <c r="D290" s="7">
        <f t="shared" si="4"/>
        <v>-6.3753692549552987E-3</v>
      </c>
    </row>
    <row r="291" spans="2:4" x14ac:dyDescent="0.2">
      <c r="B291" t="s">
        <v>931</v>
      </c>
      <c r="C291" s="14">
        <v>92.309759999999997</v>
      </c>
      <c r="D291" s="7">
        <f t="shared" si="4"/>
        <v>-4.76401331167986E-3</v>
      </c>
    </row>
    <row r="292" spans="2:4" x14ac:dyDescent="0.2">
      <c r="B292" t="s">
        <v>932</v>
      </c>
      <c r="C292" s="14">
        <v>91.716629999999995</v>
      </c>
      <c r="D292" s="7">
        <f t="shared" si="4"/>
        <v>-6.4254310703441009E-3</v>
      </c>
    </row>
    <row r="293" spans="2:4" x14ac:dyDescent="0.2">
      <c r="B293" t="s">
        <v>933</v>
      </c>
      <c r="C293" s="14">
        <v>91.667860000000005</v>
      </c>
      <c r="D293" s="7">
        <f t="shared" si="4"/>
        <v>-5.3174653277154871E-4</v>
      </c>
    </row>
    <row r="294" spans="2:4" x14ac:dyDescent="0.2">
      <c r="B294" t="s">
        <v>934</v>
      </c>
      <c r="C294" s="14">
        <v>92.396339999999995</v>
      </c>
      <c r="D294" s="7">
        <f t="shared" si="4"/>
        <v>7.9469510906002849E-3</v>
      </c>
    </row>
    <row r="295" spans="2:4" x14ac:dyDescent="0.2">
      <c r="B295" t="s">
        <v>935</v>
      </c>
      <c r="C295" s="14">
        <v>92.627229999999997</v>
      </c>
      <c r="D295" s="7">
        <f t="shared" si="4"/>
        <v>2.4989085065489913E-3</v>
      </c>
    </row>
    <row r="296" spans="2:4" x14ac:dyDescent="0.2">
      <c r="B296" t="s">
        <v>936</v>
      </c>
      <c r="C296" s="14">
        <v>92.446100000000001</v>
      </c>
      <c r="D296" s="7">
        <f t="shared" si="4"/>
        <v>-1.9554724890293862E-3</v>
      </c>
    </row>
    <row r="297" spans="2:4" x14ac:dyDescent="0.2">
      <c r="B297" t="s">
        <v>937</v>
      </c>
      <c r="C297" s="14">
        <v>92.51576</v>
      </c>
      <c r="D297" s="7">
        <f t="shared" si="4"/>
        <v>7.5352015931451355E-4</v>
      </c>
    </row>
    <row r="298" spans="2:4" x14ac:dyDescent="0.2">
      <c r="B298" t="s">
        <v>938</v>
      </c>
      <c r="C298" s="14">
        <v>92.024140000000003</v>
      </c>
      <c r="D298" s="7">
        <f t="shared" si="4"/>
        <v>-5.3139054362196791E-3</v>
      </c>
    </row>
    <row r="299" spans="2:4" x14ac:dyDescent="0.2">
      <c r="B299" t="s">
        <v>939</v>
      </c>
      <c r="C299" s="14">
        <v>91.757429999999999</v>
      </c>
      <c r="D299" s="7">
        <f t="shared" si="4"/>
        <v>-2.8982612605780167E-3</v>
      </c>
    </row>
    <row r="300" spans="2:4" x14ac:dyDescent="0.2">
      <c r="B300" t="s">
        <v>940</v>
      </c>
      <c r="C300" s="14">
        <v>91.934569999999994</v>
      </c>
      <c r="D300" s="7">
        <f t="shared" si="4"/>
        <v>1.9305248632182082E-3</v>
      </c>
    </row>
    <row r="301" spans="2:4" x14ac:dyDescent="0.2">
      <c r="B301" t="s">
        <v>941</v>
      </c>
      <c r="C301" s="14">
        <v>91.986320000000006</v>
      </c>
      <c r="D301" s="7">
        <f t="shared" si="4"/>
        <v>5.6290033226913394E-4</v>
      </c>
    </row>
    <row r="302" spans="2:4" x14ac:dyDescent="0.2">
      <c r="B302" t="s">
        <v>942</v>
      </c>
      <c r="C302" s="14">
        <v>92.203280000000007</v>
      </c>
      <c r="D302" s="7">
        <f t="shared" si="4"/>
        <v>2.3586115848530653E-3</v>
      </c>
    </row>
    <row r="303" spans="2:4" x14ac:dyDescent="0.2">
      <c r="B303" t="s">
        <v>943</v>
      </c>
      <c r="C303" s="14">
        <v>92.266970000000001</v>
      </c>
      <c r="D303" s="7">
        <f t="shared" si="4"/>
        <v>6.9075633751847221E-4</v>
      </c>
    </row>
    <row r="304" spans="2:4" x14ac:dyDescent="0.2">
      <c r="B304" t="s">
        <v>944</v>
      </c>
      <c r="C304" s="14">
        <v>91.82311</v>
      </c>
      <c r="D304" s="7">
        <f t="shared" si="4"/>
        <v>-4.8106055720698038E-3</v>
      </c>
    </row>
    <row r="305" spans="2:4" x14ac:dyDescent="0.2">
      <c r="B305" t="s">
        <v>945</v>
      </c>
      <c r="C305" s="14">
        <v>91.853970000000004</v>
      </c>
      <c r="D305" s="7">
        <f t="shared" si="4"/>
        <v>3.3608097133730475E-4</v>
      </c>
    </row>
    <row r="306" spans="2:4" x14ac:dyDescent="0.2">
      <c r="B306" t="s">
        <v>946</v>
      </c>
      <c r="C306" s="14">
        <v>92.919809999999998</v>
      </c>
      <c r="D306" s="7">
        <f t="shared" si="4"/>
        <v>1.1603635640353938E-2</v>
      </c>
    </row>
    <row r="307" spans="2:4" x14ac:dyDescent="0.2">
      <c r="B307" t="s">
        <v>947</v>
      </c>
      <c r="C307" s="14">
        <v>93.297979999999995</v>
      </c>
      <c r="D307" s="7">
        <f t="shared" si="4"/>
        <v>4.0698533498937373E-3</v>
      </c>
    </row>
    <row r="308" spans="2:4" x14ac:dyDescent="0.2">
      <c r="B308" t="s">
        <v>948</v>
      </c>
      <c r="C308" s="14">
        <v>93.424369999999996</v>
      </c>
      <c r="D308" s="7">
        <f t="shared" si="4"/>
        <v>1.3546917092952526E-3</v>
      </c>
    </row>
    <row r="309" spans="2:4" x14ac:dyDescent="0.2">
      <c r="B309" t="s">
        <v>949</v>
      </c>
      <c r="C309" s="14">
        <v>93.602509999999995</v>
      </c>
      <c r="D309" s="7">
        <f t="shared" si="4"/>
        <v>1.9067829946297632E-3</v>
      </c>
    </row>
    <row r="310" spans="2:4" x14ac:dyDescent="0.2">
      <c r="B310" t="s">
        <v>950</v>
      </c>
      <c r="C310" s="14">
        <v>93.761740000000003</v>
      </c>
      <c r="D310" s="7">
        <f t="shared" si="4"/>
        <v>1.7011295957769512E-3</v>
      </c>
    </row>
    <row r="311" spans="2:4" x14ac:dyDescent="0.2">
      <c r="B311" t="s">
        <v>951</v>
      </c>
      <c r="C311" s="14">
        <v>93.574650000000005</v>
      </c>
      <c r="D311" s="7">
        <f t="shared" si="4"/>
        <v>-1.995376792282233E-3</v>
      </c>
    </row>
    <row r="312" spans="2:4" x14ac:dyDescent="0.2">
      <c r="B312" t="s">
        <v>952</v>
      </c>
      <c r="C312" s="14">
        <v>93.745819999999995</v>
      </c>
      <c r="D312" s="7">
        <f t="shared" si="4"/>
        <v>1.8292347339796677E-3</v>
      </c>
    </row>
    <row r="313" spans="2:4" x14ac:dyDescent="0.2">
      <c r="B313" t="s">
        <v>953</v>
      </c>
      <c r="C313" s="14">
        <v>94.145880000000005</v>
      </c>
      <c r="D313" s="7">
        <f t="shared" si="4"/>
        <v>4.2674969401303997E-3</v>
      </c>
    </row>
    <row r="314" spans="2:4" x14ac:dyDescent="0.2">
      <c r="B314" t="s">
        <v>954</v>
      </c>
      <c r="C314" s="14">
        <v>94.311080000000004</v>
      </c>
      <c r="D314" s="7">
        <f t="shared" si="4"/>
        <v>1.7547236267800859E-3</v>
      </c>
    </row>
    <row r="315" spans="2:4" x14ac:dyDescent="0.2">
      <c r="B315" t="s">
        <v>955</v>
      </c>
      <c r="C315" s="14">
        <v>94.58775</v>
      </c>
      <c r="D315" s="7">
        <f t="shared" si="4"/>
        <v>2.9335895633895159E-3</v>
      </c>
    </row>
    <row r="316" spans="2:4" x14ac:dyDescent="0.2">
      <c r="B316" t="s">
        <v>956</v>
      </c>
      <c r="C316" s="14">
        <v>95.13212</v>
      </c>
      <c r="D316" s="7">
        <f t="shared" si="4"/>
        <v>5.755185000171803E-3</v>
      </c>
    </row>
    <row r="317" spans="2:4" x14ac:dyDescent="0.2">
      <c r="B317" t="s">
        <v>957</v>
      </c>
      <c r="C317" s="14">
        <v>95.127139999999997</v>
      </c>
      <c r="D317" s="7">
        <f t="shared" si="4"/>
        <v>-5.234824999178489E-5</v>
      </c>
    </row>
    <row r="318" spans="2:4" x14ac:dyDescent="0.2">
      <c r="B318" t="s">
        <v>958</v>
      </c>
      <c r="C318" s="14">
        <v>96.657740000000004</v>
      </c>
      <c r="D318" s="7">
        <f t="shared" si="4"/>
        <v>1.609004538557568E-2</v>
      </c>
    </row>
    <row r="319" spans="2:4" x14ac:dyDescent="0.2">
      <c r="B319" t="s">
        <v>959</v>
      </c>
      <c r="C319" s="14">
        <v>97.064769999999996</v>
      </c>
      <c r="D319" s="7">
        <f t="shared" si="4"/>
        <v>4.2110440405496163E-3</v>
      </c>
    </row>
    <row r="320" spans="2:4" x14ac:dyDescent="0.2">
      <c r="B320" t="s">
        <v>960</v>
      </c>
      <c r="C320" s="14">
        <v>97.015010000000004</v>
      </c>
      <c r="D320" s="7">
        <f t="shared" si="4"/>
        <v>-5.1264737968259588E-4</v>
      </c>
    </row>
    <row r="321" spans="2:4" x14ac:dyDescent="0.2">
      <c r="B321" t="s">
        <v>961</v>
      </c>
      <c r="C321" s="14">
        <v>96.790099999999995</v>
      </c>
      <c r="D321" s="7">
        <f t="shared" si="4"/>
        <v>-2.3183010546513616E-3</v>
      </c>
    </row>
    <row r="322" spans="2:4" x14ac:dyDescent="0.2">
      <c r="B322" t="s">
        <v>962</v>
      </c>
      <c r="C322" s="14">
        <v>96.717449999999999</v>
      </c>
      <c r="D322" s="7">
        <f t="shared" si="4"/>
        <v>-7.5059329414883802E-4</v>
      </c>
    </row>
    <row r="323" spans="2:4" x14ac:dyDescent="0.2">
      <c r="B323" t="s">
        <v>963</v>
      </c>
      <c r="C323" s="14">
        <v>96.293499999999995</v>
      </c>
      <c r="D323" s="7">
        <f t="shared" ref="D323:D386" si="5">C323/C322-1</f>
        <v>-4.3833868655552832E-3</v>
      </c>
    </row>
    <row r="324" spans="2:4" x14ac:dyDescent="0.2">
      <c r="B324" t="s">
        <v>964</v>
      </c>
      <c r="C324" s="14">
        <v>97.078699999999998</v>
      </c>
      <c r="D324" s="7">
        <f t="shared" si="5"/>
        <v>8.1542367864912979E-3</v>
      </c>
    </row>
    <row r="325" spans="2:4" x14ac:dyDescent="0.2">
      <c r="B325" t="s">
        <v>965</v>
      </c>
      <c r="C325" s="14">
        <v>98.098780000000005</v>
      </c>
      <c r="D325" s="7">
        <f t="shared" si="5"/>
        <v>1.0507763288960525E-2</v>
      </c>
    </row>
    <row r="326" spans="2:4" x14ac:dyDescent="0.2">
      <c r="B326" t="s">
        <v>966</v>
      </c>
      <c r="C326" s="14">
        <v>98.021150000000006</v>
      </c>
      <c r="D326" s="7">
        <f t="shared" si="5"/>
        <v>-7.9134521346746478E-4</v>
      </c>
    </row>
    <row r="327" spans="2:4" x14ac:dyDescent="0.2">
      <c r="B327" t="s">
        <v>967</v>
      </c>
      <c r="C327" s="14">
        <v>98.004230000000007</v>
      </c>
      <c r="D327" s="7">
        <f t="shared" si="5"/>
        <v>-1.7261580791494424E-4</v>
      </c>
    </row>
    <row r="328" spans="2:4" x14ac:dyDescent="0.2">
      <c r="B328" t="s">
        <v>968</v>
      </c>
      <c r="C328" s="14">
        <v>98.471969999999999</v>
      </c>
      <c r="D328" s="7">
        <f t="shared" si="5"/>
        <v>4.7726511396497528E-3</v>
      </c>
    </row>
    <row r="329" spans="2:4" x14ac:dyDescent="0.2">
      <c r="B329" t="s">
        <v>969</v>
      </c>
      <c r="C329" s="14">
        <v>98.551580000000001</v>
      </c>
      <c r="D329" s="7">
        <f t="shared" si="5"/>
        <v>8.084534106507224E-4</v>
      </c>
    </row>
    <row r="330" spans="2:4" x14ac:dyDescent="0.2">
      <c r="B330" t="s">
        <v>970</v>
      </c>
      <c r="C330" s="14">
        <v>99.701030000000003</v>
      </c>
      <c r="D330" s="7">
        <f t="shared" si="5"/>
        <v>1.1663435532946353E-2</v>
      </c>
    </row>
    <row r="331" spans="2:4" x14ac:dyDescent="0.2">
      <c r="B331" t="s">
        <v>971</v>
      </c>
      <c r="C331" s="14">
        <v>99.981669999999994</v>
      </c>
      <c r="D331" s="7">
        <f t="shared" si="5"/>
        <v>2.814815453761943E-3</v>
      </c>
    </row>
    <row r="332" spans="2:4" x14ac:dyDescent="0.2">
      <c r="B332" t="s">
        <v>972</v>
      </c>
      <c r="C332" s="14">
        <v>99.631360000000001</v>
      </c>
      <c r="D332" s="7">
        <f t="shared" si="5"/>
        <v>-3.5037422359517345E-3</v>
      </c>
    </row>
    <row r="333" spans="2:4" x14ac:dyDescent="0.2">
      <c r="B333" t="s">
        <v>973</v>
      </c>
      <c r="C333" s="14">
        <v>99.413420000000002</v>
      </c>
      <c r="D333" s="7">
        <f t="shared" si="5"/>
        <v>-2.187463866798578E-3</v>
      </c>
    </row>
    <row r="334" spans="2:4" x14ac:dyDescent="0.2">
      <c r="B334" t="s">
        <v>974</v>
      </c>
      <c r="C334" s="14">
        <v>99.397499999999994</v>
      </c>
      <c r="D334" s="7">
        <f t="shared" si="5"/>
        <v>-1.6013934537217889E-4</v>
      </c>
    </row>
    <row r="335" spans="2:4" x14ac:dyDescent="0.2">
      <c r="B335" t="s">
        <v>975</v>
      </c>
      <c r="C335" s="14">
        <v>99.256180000000001</v>
      </c>
      <c r="D335" s="7">
        <f t="shared" si="5"/>
        <v>-1.4217661409994253E-3</v>
      </c>
    </row>
    <row r="336" spans="2:4" x14ac:dyDescent="0.2">
      <c r="B336" t="s">
        <v>976</v>
      </c>
      <c r="C336" s="14">
        <v>99.87518</v>
      </c>
      <c r="D336" s="7">
        <f t="shared" si="5"/>
        <v>6.2363874974837863E-3</v>
      </c>
    </row>
    <row r="337" spans="2:4" x14ac:dyDescent="0.2">
      <c r="B337" t="s">
        <v>977</v>
      </c>
      <c r="C337" s="14">
        <v>100.1887</v>
      </c>
      <c r="D337" s="7">
        <f t="shared" si="5"/>
        <v>3.1391182473963219E-3</v>
      </c>
    </row>
    <row r="338" spans="2:4" x14ac:dyDescent="0.2">
      <c r="B338" t="s">
        <v>978</v>
      </c>
      <c r="C338" s="14">
        <v>99.873199999999997</v>
      </c>
      <c r="D338" s="7">
        <f t="shared" si="5"/>
        <v>-3.1490577280671728E-3</v>
      </c>
    </row>
    <row r="339" spans="2:4" x14ac:dyDescent="0.2">
      <c r="B339" t="s">
        <v>979</v>
      </c>
      <c r="C339" s="14">
        <v>99.885140000000007</v>
      </c>
      <c r="D339" s="7">
        <f t="shared" si="5"/>
        <v>1.195515914180767E-4</v>
      </c>
    </row>
    <row r="340" spans="2:4" x14ac:dyDescent="0.2">
      <c r="B340" t="s">
        <v>980</v>
      </c>
      <c r="C340" s="14">
        <v>98.644130000000004</v>
      </c>
      <c r="D340" s="7">
        <f t="shared" si="5"/>
        <v>-1.2424370632108106E-2</v>
      </c>
    </row>
    <row r="341" spans="2:4" x14ac:dyDescent="0.2">
      <c r="B341" t="s">
        <v>981</v>
      </c>
      <c r="C341" s="14">
        <v>98.525710000000004</v>
      </c>
      <c r="D341" s="7">
        <f t="shared" si="5"/>
        <v>-1.200476906228487E-3</v>
      </c>
    </row>
    <row r="342" spans="2:4" x14ac:dyDescent="0.2">
      <c r="B342" t="s">
        <v>982</v>
      </c>
      <c r="C342" s="14">
        <v>100.1538</v>
      </c>
      <c r="D342" s="7">
        <f t="shared" si="5"/>
        <v>1.6524519336120536E-2</v>
      </c>
    </row>
    <row r="343" spans="2:4" x14ac:dyDescent="0.2">
      <c r="B343" t="s">
        <v>983</v>
      </c>
      <c r="C343" s="14">
        <v>100.1648</v>
      </c>
      <c r="D343" s="7">
        <f t="shared" si="5"/>
        <v>1.0983107979911644E-4</v>
      </c>
    </row>
    <row r="344" spans="2:4" x14ac:dyDescent="0.2">
      <c r="B344" t="s">
        <v>984</v>
      </c>
      <c r="C344" s="14">
        <v>100.336</v>
      </c>
      <c r="D344" s="7">
        <f t="shared" si="5"/>
        <v>1.7091832659776873E-3</v>
      </c>
    </row>
    <row r="345" spans="2:4" x14ac:dyDescent="0.2">
      <c r="B345" t="s">
        <v>985</v>
      </c>
      <c r="C345" s="14">
        <v>100.3877</v>
      </c>
      <c r="D345" s="7">
        <f t="shared" si="5"/>
        <v>5.1526869717744006E-4</v>
      </c>
    </row>
    <row r="346" spans="2:4" x14ac:dyDescent="0.2">
      <c r="B346" t="s">
        <v>986</v>
      </c>
      <c r="C346" s="14">
        <v>100.15089999999999</v>
      </c>
      <c r="D346" s="7">
        <f t="shared" si="5"/>
        <v>-2.358854720249659E-3</v>
      </c>
    </row>
    <row r="347" spans="2:4" x14ac:dyDescent="0.2">
      <c r="B347" t="s">
        <v>987</v>
      </c>
      <c r="C347" s="14">
        <v>99.408439999999999</v>
      </c>
      <c r="D347" s="7">
        <f t="shared" si="5"/>
        <v>-7.4134131595422481E-3</v>
      </c>
    </row>
    <row r="348" spans="2:4" x14ac:dyDescent="0.2">
      <c r="B348" t="s">
        <v>988</v>
      </c>
      <c r="C348" s="14">
        <v>99.990629999999996</v>
      </c>
      <c r="D348" s="7">
        <f t="shared" si="5"/>
        <v>5.8565449774687917E-3</v>
      </c>
    </row>
    <row r="349" spans="2:4" x14ac:dyDescent="0.2">
      <c r="B349" t="s">
        <v>989</v>
      </c>
      <c r="C349" s="14">
        <v>99.941860000000005</v>
      </c>
      <c r="D349" s="7">
        <f t="shared" si="5"/>
        <v>-4.8774570177212428E-4</v>
      </c>
    </row>
    <row r="350" spans="2:4" x14ac:dyDescent="0.2">
      <c r="B350" t="s">
        <v>990</v>
      </c>
      <c r="C350" s="14">
        <v>99.719939999999994</v>
      </c>
      <c r="D350" s="7">
        <f t="shared" si="5"/>
        <v>-2.2204909934636641E-3</v>
      </c>
    </row>
    <row r="351" spans="2:4" x14ac:dyDescent="0.2">
      <c r="B351" t="s">
        <v>991</v>
      </c>
      <c r="C351" s="14">
        <v>100.0802</v>
      </c>
      <c r="D351" s="7">
        <f t="shared" si="5"/>
        <v>3.6127177774074593E-3</v>
      </c>
    </row>
    <row r="352" spans="2:4" x14ac:dyDescent="0.2">
      <c r="B352" t="s">
        <v>992</v>
      </c>
      <c r="C352" s="14">
        <v>98.701859999999996</v>
      </c>
      <c r="D352" s="7">
        <f t="shared" si="5"/>
        <v>-1.3772354571633616E-2</v>
      </c>
    </row>
    <row r="353" spans="2:4" x14ac:dyDescent="0.2">
      <c r="B353" t="s">
        <v>993</v>
      </c>
      <c r="C353" s="14">
        <v>98.444109999999995</v>
      </c>
      <c r="D353" s="7">
        <f t="shared" si="5"/>
        <v>-2.6113996230668901E-3</v>
      </c>
    </row>
    <row r="354" spans="2:4" x14ac:dyDescent="0.2">
      <c r="B354" t="s">
        <v>994</v>
      </c>
      <c r="C354" s="14">
        <v>99.787610000000001</v>
      </c>
      <c r="D354" s="7">
        <f t="shared" si="5"/>
        <v>1.3647337560368067E-2</v>
      </c>
    </row>
    <row r="355" spans="2:4" x14ac:dyDescent="0.2">
      <c r="B355" t="s">
        <v>995</v>
      </c>
      <c r="C355" s="14">
        <v>100.0235</v>
      </c>
      <c r="D355" s="7">
        <f t="shared" si="5"/>
        <v>2.3639207312411425E-3</v>
      </c>
    </row>
    <row r="356" spans="2:4" x14ac:dyDescent="0.2">
      <c r="B356" t="s">
        <v>996</v>
      </c>
      <c r="C356" s="14">
        <v>99.896090000000001</v>
      </c>
      <c r="D356" s="7">
        <f t="shared" si="5"/>
        <v>-1.2738006568455695E-3</v>
      </c>
    </row>
    <row r="357" spans="2:4" x14ac:dyDescent="0.2">
      <c r="B357" t="s">
        <v>997</v>
      </c>
      <c r="C357" s="14">
        <v>99.966740000000001</v>
      </c>
      <c r="D357" s="7">
        <f t="shared" si="5"/>
        <v>7.0723488777191257E-4</v>
      </c>
    </row>
    <row r="358" spans="2:4" x14ac:dyDescent="0.2">
      <c r="B358" t="s">
        <v>998</v>
      </c>
      <c r="C358" s="14">
        <v>99.277079999999998</v>
      </c>
      <c r="D358" s="7">
        <f t="shared" si="5"/>
        <v>-6.8988945723348349E-3</v>
      </c>
    </row>
    <row r="359" spans="2:4" x14ac:dyDescent="0.2">
      <c r="B359" t="s">
        <v>999</v>
      </c>
      <c r="C359" s="14">
        <v>99.051169999999999</v>
      </c>
      <c r="D359" s="7">
        <f t="shared" si="5"/>
        <v>-2.2755504090168355E-3</v>
      </c>
    </row>
    <row r="360" spans="2:4" x14ac:dyDescent="0.2">
      <c r="B360" t="s">
        <v>1000</v>
      </c>
      <c r="C360" s="14">
        <v>99.617429999999999</v>
      </c>
      <c r="D360" s="7">
        <f t="shared" si="5"/>
        <v>5.7168431226002348E-3</v>
      </c>
    </row>
    <row r="361" spans="2:4" x14ac:dyDescent="0.2">
      <c r="B361" t="s">
        <v>1001</v>
      </c>
      <c r="C361" s="14">
        <v>99.945849999999993</v>
      </c>
      <c r="D361" s="7">
        <f t="shared" si="5"/>
        <v>3.2968126160251021E-3</v>
      </c>
    </row>
    <row r="362" spans="2:4" x14ac:dyDescent="0.2">
      <c r="B362" t="s">
        <v>1002</v>
      </c>
      <c r="C362" s="14">
        <v>99.738849999999999</v>
      </c>
      <c r="D362" s="7">
        <f t="shared" si="5"/>
        <v>-2.0711215122988236E-3</v>
      </c>
    </row>
    <row r="363" spans="2:4" x14ac:dyDescent="0.2">
      <c r="B363" t="s">
        <v>1003</v>
      </c>
      <c r="C363" s="14">
        <v>99.722920000000002</v>
      </c>
      <c r="D363" s="7">
        <f t="shared" si="5"/>
        <v>-1.5971710120976645E-4</v>
      </c>
    </row>
    <row r="364" spans="2:4" x14ac:dyDescent="0.2">
      <c r="B364" t="s">
        <v>1004</v>
      </c>
      <c r="C364" s="14">
        <v>98.313739999999996</v>
      </c>
      <c r="D364" s="7">
        <f t="shared" si="5"/>
        <v>-1.4130954047474775E-2</v>
      </c>
    </row>
    <row r="365" spans="2:4" x14ac:dyDescent="0.2">
      <c r="B365" t="s">
        <v>1005</v>
      </c>
      <c r="C365" s="14">
        <v>98.240089999999995</v>
      </c>
      <c r="D365" s="7">
        <f t="shared" si="5"/>
        <v>-7.4913231863626972E-4</v>
      </c>
    </row>
    <row r="366" spans="2:4" x14ac:dyDescent="0.2">
      <c r="B366" t="s">
        <v>1006</v>
      </c>
      <c r="C366" s="14">
        <v>100.0971</v>
      </c>
      <c r="D366" s="7">
        <f t="shared" si="5"/>
        <v>1.8902771770669125E-2</v>
      </c>
    </row>
    <row r="367" spans="2:4" x14ac:dyDescent="0.2">
      <c r="B367" t="s">
        <v>1007</v>
      </c>
      <c r="C367" s="14">
        <v>100.42149999999999</v>
      </c>
      <c r="D367" s="7">
        <f t="shared" si="5"/>
        <v>3.240853131609267E-3</v>
      </c>
    </row>
    <row r="368" spans="2:4" x14ac:dyDescent="0.2">
      <c r="B368" t="s">
        <v>1008</v>
      </c>
      <c r="C368" s="14">
        <v>100.84950000000001</v>
      </c>
      <c r="D368" s="7">
        <f t="shared" si="5"/>
        <v>4.262035520282037E-3</v>
      </c>
    </row>
    <row r="369" spans="2:4" x14ac:dyDescent="0.2">
      <c r="B369" t="s">
        <v>1009</v>
      </c>
      <c r="C369" s="14">
        <v>100.7689</v>
      </c>
      <c r="D369" s="7">
        <f t="shared" si="5"/>
        <v>-7.9921070506050462E-4</v>
      </c>
    </row>
    <row r="370" spans="2:4" x14ac:dyDescent="0.2">
      <c r="B370" t="s">
        <v>1010</v>
      </c>
      <c r="C370" s="14">
        <v>100.0384</v>
      </c>
      <c r="D370" s="7">
        <f t="shared" si="5"/>
        <v>-7.2492604365037572E-3</v>
      </c>
    </row>
    <row r="371" spans="2:4" x14ac:dyDescent="0.2">
      <c r="B371" t="s">
        <v>1011</v>
      </c>
      <c r="C371" s="14">
        <v>99.703019999999995</v>
      </c>
      <c r="D371" s="7">
        <f t="shared" si="5"/>
        <v>-3.3525126351481305E-3</v>
      </c>
    </row>
    <row r="372" spans="2:4" x14ac:dyDescent="0.2">
      <c r="B372" t="s">
        <v>1012</v>
      </c>
      <c r="C372" s="14">
        <v>100.4892</v>
      </c>
      <c r="D372" s="7">
        <f t="shared" si="5"/>
        <v>7.8852175189878526E-3</v>
      </c>
    </row>
    <row r="373" spans="2:4" x14ac:dyDescent="0.2">
      <c r="B373" t="s">
        <v>1013</v>
      </c>
      <c r="C373" s="14">
        <v>100.5788</v>
      </c>
      <c r="D373" s="7">
        <f t="shared" si="5"/>
        <v>8.9163810638370755E-4</v>
      </c>
    </row>
    <row r="374" spans="2:4" x14ac:dyDescent="0.2">
      <c r="B374" t="s">
        <v>1014</v>
      </c>
      <c r="C374" s="14">
        <v>100.3807</v>
      </c>
      <c r="D374" s="7">
        <f t="shared" si="5"/>
        <v>-1.969599955457757E-3</v>
      </c>
    </row>
    <row r="375" spans="2:4" x14ac:dyDescent="0.2">
      <c r="B375" t="s">
        <v>1015</v>
      </c>
      <c r="C375" s="14">
        <v>100.119</v>
      </c>
      <c r="D375" s="7">
        <f t="shared" si="5"/>
        <v>-2.607074865985215E-3</v>
      </c>
    </row>
    <row r="376" spans="2:4" x14ac:dyDescent="0.2">
      <c r="B376" t="s">
        <v>1016</v>
      </c>
      <c r="C376" s="14">
        <v>99.081019999999995</v>
      </c>
      <c r="D376" s="7">
        <f t="shared" si="5"/>
        <v>-1.0367462719363951E-2</v>
      </c>
    </row>
    <row r="377" spans="2:4" x14ac:dyDescent="0.2">
      <c r="B377" t="s">
        <v>1017</v>
      </c>
      <c r="C377" s="14">
        <v>98.637169999999998</v>
      </c>
      <c r="D377" s="7">
        <f t="shared" si="5"/>
        <v>-4.4796672460577502E-3</v>
      </c>
    </row>
    <row r="378" spans="2:4" x14ac:dyDescent="0.2">
      <c r="B378" t="s">
        <v>1018</v>
      </c>
      <c r="C378" s="14">
        <v>100.54689999999999</v>
      </c>
      <c r="D378" s="7">
        <f t="shared" si="5"/>
        <v>1.9361159692639074E-2</v>
      </c>
    </row>
    <row r="379" spans="2:4" x14ac:dyDescent="0.2">
      <c r="B379" t="s">
        <v>1019</v>
      </c>
      <c r="C379" s="14">
        <v>100.89919999999999</v>
      </c>
      <c r="D379" s="7">
        <f t="shared" si="5"/>
        <v>3.5038375126432708E-3</v>
      </c>
    </row>
    <row r="380" spans="2:4" x14ac:dyDescent="0.2">
      <c r="B380" t="s">
        <v>1020</v>
      </c>
      <c r="C380" s="14">
        <v>101.1849</v>
      </c>
      <c r="D380" s="7">
        <f t="shared" si="5"/>
        <v>2.8315388030828448E-3</v>
      </c>
    </row>
    <row r="381" spans="2:4" x14ac:dyDescent="0.2">
      <c r="B381" t="s">
        <v>1021</v>
      </c>
      <c r="C381" s="14">
        <v>101.3192</v>
      </c>
      <c r="D381" s="7">
        <f t="shared" si="5"/>
        <v>1.3272731405575833E-3</v>
      </c>
    </row>
    <row r="382" spans="2:4" x14ac:dyDescent="0.2">
      <c r="B382" t="s">
        <v>1022</v>
      </c>
      <c r="C382" s="14">
        <v>100.6494</v>
      </c>
      <c r="D382" s="7">
        <f t="shared" si="5"/>
        <v>-6.6107904523524663E-3</v>
      </c>
    </row>
    <row r="383" spans="2:4" x14ac:dyDescent="0.2">
      <c r="B383" t="s">
        <v>1023</v>
      </c>
      <c r="C383" s="14">
        <v>100.42449999999999</v>
      </c>
      <c r="D383" s="7">
        <f t="shared" si="5"/>
        <v>-2.2344892269601235E-3</v>
      </c>
    </row>
    <row r="384" spans="2:4" x14ac:dyDescent="0.2">
      <c r="B384" t="s">
        <v>1024</v>
      </c>
      <c r="C384" s="14">
        <v>101.12220000000001</v>
      </c>
      <c r="D384" s="7">
        <f t="shared" si="5"/>
        <v>6.9475078292648984E-3</v>
      </c>
    </row>
    <row r="385" spans="2:4" x14ac:dyDescent="0.2">
      <c r="B385" t="s">
        <v>1025</v>
      </c>
      <c r="C385" s="14">
        <v>101.46850000000001</v>
      </c>
      <c r="D385" s="7">
        <f t="shared" si="5"/>
        <v>3.4245694812811145E-3</v>
      </c>
    </row>
    <row r="386" spans="2:4" x14ac:dyDescent="0.2">
      <c r="B386" t="s">
        <v>1026</v>
      </c>
      <c r="C386" s="14">
        <v>100.958</v>
      </c>
      <c r="D386" s="7">
        <f t="shared" si="5"/>
        <v>-5.031118031704529E-3</v>
      </c>
    </row>
    <row r="387" spans="2:4" x14ac:dyDescent="0.2">
      <c r="B387" t="s">
        <v>1027</v>
      </c>
      <c r="C387" s="14">
        <v>100.9978</v>
      </c>
      <c r="D387" s="7">
        <f t="shared" ref="D387:D426" si="6">C387/C386-1</f>
        <v>3.9422334039906914E-4</v>
      </c>
    </row>
    <row r="388" spans="2:4" x14ac:dyDescent="0.2">
      <c r="B388" t="s">
        <v>1028</v>
      </c>
      <c r="C388" s="14">
        <v>100.3997</v>
      </c>
      <c r="D388" s="7">
        <f t="shared" si="6"/>
        <v>-5.9219111703423533E-3</v>
      </c>
    </row>
    <row r="389" spans="2:4" x14ac:dyDescent="0.2">
      <c r="B389" t="s">
        <v>1029</v>
      </c>
      <c r="C389" s="14">
        <v>100.1688</v>
      </c>
      <c r="D389" s="7">
        <f t="shared" si="6"/>
        <v>-2.299807668747933E-3</v>
      </c>
    </row>
    <row r="390" spans="2:4" x14ac:dyDescent="0.2">
      <c r="B390" t="s">
        <v>1030</v>
      </c>
      <c r="C390" s="14">
        <v>101.9243</v>
      </c>
      <c r="D390" s="7">
        <f t="shared" si="6"/>
        <v>1.752541709594202E-2</v>
      </c>
    </row>
    <row r="391" spans="2:4" x14ac:dyDescent="0.2">
      <c r="B391" t="s">
        <v>1031</v>
      </c>
      <c r="C391" s="14">
        <v>102.8956</v>
      </c>
      <c r="D391" s="7">
        <f t="shared" si="6"/>
        <v>9.5296214935987056E-3</v>
      </c>
    </row>
    <row r="392" spans="2:4" x14ac:dyDescent="0.2">
      <c r="B392" t="s">
        <v>1032</v>
      </c>
      <c r="C392" s="14">
        <v>102.6528</v>
      </c>
      <c r="D392" s="7">
        <f t="shared" si="6"/>
        <v>-2.3596732999273673E-3</v>
      </c>
    </row>
    <row r="393" spans="2:4" x14ac:dyDescent="0.2">
      <c r="B393" t="s">
        <v>1033</v>
      </c>
      <c r="C393" s="14">
        <v>102.2398</v>
      </c>
      <c r="D393" s="7">
        <f t="shared" si="6"/>
        <v>-4.0232706755197745E-3</v>
      </c>
    </row>
    <row r="394" spans="2:4" x14ac:dyDescent="0.2">
      <c r="B394" t="s">
        <v>1034</v>
      </c>
      <c r="C394" s="14">
        <v>101.55710000000001</v>
      </c>
      <c r="D394" s="7">
        <f t="shared" si="6"/>
        <v>-6.6774387273840219E-3</v>
      </c>
    </row>
    <row r="395" spans="2:4" x14ac:dyDescent="0.2">
      <c r="B395" t="s">
        <v>1035</v>
      </c>
      <c r="C395" s="14">
        <v>101.565</v>
      </c>
      <c r="D395" s="7">
        <f t="shared" si="6"/>
        <v>7.7788751352558805E-5</v>
      </c>
    </row>
    <row r="396" spans="2:4" x14ac:dyDescent="0.2">
      <c r="B396" t="s">
        <v>1036</v>
      </c>
      <c r="C396" s="14">
        <v>102.5274</v>
      </c>
      <c r="D396" s="7">
        <f t="shared" si="6"/>
        <v>9.4757052134102349E-3</v>
      </c>
    </row>
    <row r="397" spans="2:4" x14ac:dyDescent="0.2">
      <c r="B397" t="s">
        <v>1037</v>
      </c>
      <c r="C397" s="14">
        <v>102.8807</v>
      </c>
      <c r="D397" s="7">
        <f t="shared" si="6"/>
        <v>3.4459081182200979E-3</v>
      </c>
    </row>
    <row r="398" spans="2:4" x14ac:dyDescent="0.2">
      <c r="B398" t="s">
        <v>1038</v>
      </c>
      <c r="C398" s="14">
        <v>102.5224</v>
      </c>
      <c r="D398" s="7">
        <f t="shared" si="6"/>
        <v>-3.4826745929994463E-3</v>
      </c>
    </row>
    <row r="399" spans="2:4" x14ac:dyDescent="0.2">
      <c r="B399" t="s">
        <v>1039</v>
      </c>
      <c r="C399" s="14">
        <v>102.4786</v>
      </c>
      <c r="D399" s="7">
        <f t="shared" si="6"/>
        <v>-4.2722370916015162E-4</v>
      </c>
    </row>
    <row r="400" spans="2:4" x14ac:dyDescent="0.2">
      <c r="B400" t="s">
        <v>1040</v>
      </c>
      <c r="C400" s="14">
        <v>101.43559999999999</v>
      </c>
      <c r="D400" s="7">
        <f t="shared" si="6"/>
        <v>-1.0177734668506466E-2</v>
      </c>
    </row>
    <row r="401" spans="2:4" x14ac:dyDescent="0.2">
      <c r="B401" t="s">
        <v>1041</v>
      </c>
      <c r="C401" s="14">
        <v>100.747</v>
      </c>
      <c r="D401" s="7">
        <f t="shared" si="6"/>
        <v>-6.7885436671147881E-3</v>
      </c>
    </row>
    <row r="402" spans="2:4" x14ac:dyDescent="0.2">
      <c r="B402" t="s">
        <v>1042</v>
      </c>
      <c r="C402" s="14">
        <v>102.6259</v>
      </c>
      <c r="D402" s="7">
        <f t="shared" si="6"/>
        <v>1.8649686839310453E-2</v>
      </c>
    </row>
    <row r="403" spans="2:4" x14ac:dyDescent="0.2">
      <c r="B403" t="s">
        <v>1043</v>
      </c>
      <c r="C403" s="14">
        <v>103.3036</v>
      </c>
      <c r="D403" s="7">
        <f t="shared" si="6"/>
        <v>6.6035961682187061E-3</v>
      </c>
    </row>
    <row r="404" spans="2:4" x14ac:dyDescent="0.2">
      <c r="B404" t="s">
        <v>1044</v>
      </c>
      <c r="C404" s="14">
        <v>103.7236</v>
      </c>
      <c r="D404" s="7">
        <f t="shared" si="6"/>
        <v>4.0656859973902115E-3</v>
      </c>
    </row>
    <row r="405" spans="2:4" x14ac:dyDescent="0.2">
      <c r="B405" t="s">
        <v>1045</v>
      </c>
      <c r="C405" s="14">
        <v>103.7903</v>
      </c>
      <c r="D405" s="7">
        <f t="shared" si="6"/>
        <v>6.4305519669582978E-4</v>
      </c>
    </row>
    <row r="406" spans="2:4" x14ac:dyDescent="0.2">
      <c r="B406" t="s">
        <v>1046</v>
      </c>
      <c r="C406" s="14">
        <v>103.15730000000001</v>
      </c>
      <c r="D406" s="7">
        <f t="shared" si="6"/>
        <v>-6.0988358256984787E-3</v>
      </c>
    </row>
    <row r="407" spans="2:4" x14ac:dyDescent="0.2">
      <c r="B407" t="s">
        <v>1047</v>
      </c>
      <c r="C407" s="14">
        <v>102.801</v>
      </c>
      <c r="D407" s="7">
        <f t="shared" si="6"/>
        <v>-3.453948484498981E-3</v>
      </c>
    </row>
    <row r="408" spans="2:4" x14ac:dyDescent="0.2">
      <c r="B408" t="s">
        <v>1048</v>
      </c>
      <c r="C408" s="14">
        <v>103.96040000000001</v>
      </c>
      <c r="D408" s="7">
        <f t="shared" si="6"/>
        <v>1.1278100407583702E-2</v>
      </c>
    </row>
    <row r="409" spans="2:4" x14ac:dyDescent="0.2">
      <c r="B409" t="s">
        <v>1049</v>
      </c>
      <c r="C409" s="14">
        <v>103.8669</v>
      </c>
      <c r="D409" s="7">
        <f t="shared" si="6"/>
        <v>-8.993809181189194E-4</v>
      </c>
    </row>
    <row r="410" spans="2:4" x14ac:dyDescent="0.2">
      <c r="B410" t="s">
        <v>1050</v>
      </c>
      <c r="C410" s="14">
        <v>103.4021</v>
      </c>
      <c r="D410" s="7">
        <f t="shared" si="6"/>
        <v>-4.4749578547159663E-3</v>
      </c>
    </row>
    <row r="411" spans="2:4" x14ac:dyDescent="0.2">
      <c r="B411" t="s">
        <v>1051</v>
      </c>
      <c r="C411" s="14">
        <v>103.1593</v>
      </c>
      <c r="D411" s="7">
        <f t="shared" si="6"/>
        <v>-2.3481147868370522E-3</v>
      </c>
    </row>
    <row r="412" spans="2:4" x14ac:dyDescent="0.2">
      <c r="B412" t="s">
        <v>1052</v>
      </c>
      <c r="C412" s="14">
        <v>101.9183</v>
      </c>
      <c r="D412" s="7">
        <f t="shared" si="6"/>
        <v>-1.2029938163597431E-2</v>
      </c>
    </row>
    <row r="413" spans="2:4" x14ac:dyDescent="0.2">
      <c r="B413" t="s">
        <v>1053</v>
      </c>
      <c r="C413" s="14">
        <v>101.6934</v>
      </c>
      <c r="D413" s="7">
        <f t="shared" si="6"/>
        <v>-2.206669459753563E-3</v>
      </c>
    </row>
    <row r="414" spans="2:4" x14ac:dyDescent="0.2">
      <c r="B414" t="s">
        <v>1054</v>
      </c>
      <c r="C414" s="14">
        <v>103.49469999999999</v>
      </c>
      <c r="D414" s="7">
        <f t="shared" si="6"/>
        <v>1.7713047257737369E-2</v>
      </c>
    </row>
    <row r="415" spans="2:4" x14ac:dyDescent="0.2">
      <c r="B415" t="s">
        <v>1055</v>
      </c>
      <c r="C415" s="14">
        <v>104.0998</v>
      </c>
      <c r="D415" s="7">
        <f t="shared" si="6"/>
        <v>5.846676206607837E-3</v>
      </c>
    </row>
    <row r="416" spans="2:4" x14ac:dyDescent="0.2">
      <c r="B416" t="s">
        <v>1056</v>
      </c>
      <c r="C416" s="14">
        <v>104.1605</v>
      </c>
      <c r="D416" s="7">
        <f t="shared" si="6"/>
        <v>5.8309429989300554E-4</v>
      </c>
    </row>
    <row r="417" spans="2:4" x14ac:dyDescent="0.2">
      <c r="B417" t="s">
        <v>1057</v>
      </c>
      <c r="C417" s="14">
        <v>104.1923</v>
      </c>
      <c r="D417" s="7">
        <f t="shared" si="6"/>
        <v>3.052980736459876E-4</v>
      </c>
    </row>
    <row r="418" spans="2:4" x14ac:dyDescent="0.2">
      <c r="B418" t="s">
        <v>1058</v>
      </c>
      <c r="C418" s="14">
        <v>102.8319</v>
      </c>
      <c r="D418" s="7">
        <f t="shared" si="6"/>
        <v>-1.305662702522159E-2</v>
      </c>
    </row>
    <row r="419" spans="2:4" x14ac:dyDescent="0.2">
      <c r="B419" t="s">
        <v>1059</v>
      </c>
      <c r="C419" s="14">
        <v>102.7135</v>
      </c>
      <c r="D419" s="7">
        <f t="shared" si="6"/>
        <v>-1.151393682310764E-3</v>
      </c>
    </row>
    <row r="420" spans="2:4" x14ac:dyDescent="0.2">
      <c r="B420" t="s">
        <v>1060</v>
      </c>
      <c r="C420" s="14">
        <v>103.84399999999999</v>
      </c>
      <c r="D420" s="7">
        <f t="shared" si="6"/>
        <v>1.1006342885794052E-2</v>
      </c>
    </row>
    <row r="421" spans="2:4" x14ac:dyDescent="0.2">
      <c r="B421" t="s">
        <v>1061</v>
      </c>
      <c r="C421" s="14">
        <v>103.8828</v>
      </c>
      <c r="D421" s="7">
        <f t="shared" si="6"/>
        <v>3.7363737914564155E-4</v>
      </c>
    </row>
    <row r="422" spans="2:4" x14ac:dyDescent="0.2">
      <c r="B422" t="s">
        <v>1062</v>
      </c>
      <c r="C422" s="14">
        <v>103.7296</v>
      </c>
      <c r="D422" s="7">
        <f t="shared" si="6"/>
        <v>-1.4747388403084649E-3</v>
      </c>
    </row>
    <row r="423" spans="2:4" x14ac:dyDescent="0.2">
      <c r="B423" t="s">
        <v>1063</v>
      </c>
      <c r="C423" s="14">
        <v>103.59220000000001</v>
      </c>
      <c r="D423" s="7">
        <f t="shared" si="6"/>
        <v>-1.3245978004349235E-3</v>
      </c>
    </row>
    <row r="424" spans="2:4" x14ac:dyDescent="0.2">
      <c r="B424" t="s">
        <v>1064</v>
      </c>
      <c r="C424" s="14">
        <v>102.7334</v>
      </c>
      <c r="D424" s="7">
        <f t="shared" si="6"/>
        <v>-8.2901994551713987E-3</v>
      </c>
    </row>
    <row r="425" spans="2:4" x14ac:dyDescent="0.2">
      <c r="B425" t="s">
        <v>1065</v>
      </c>
      <c r="C425" s="14">
        <v>102.0795</v>
      </c>
      <c r="D425" s="7">
        <f t="shared" si="6"/>
        <v>-6.3650185820776084E-3</v>
      </c>
    </row>
    <row r="426" spans="2:4" x14ac:dyDescent="0.2">
      <c r="B426" t="s">
        <v>1066</v>
      </c>
      <c r="C426" s="14">
        <v>103.54349999999999</v>
      </c>
      <c r="D426" s="7">
        <f t="shared" si="6"/>
        <v>1.4341763037632349E-2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9697B-5C6C-469C-B5D6-B8695ADA1047}">
  <dimension ref="B2:D66"/>
  <sheetViews>
    <sheetView showGridLines="0" topLeftCell="A10" workbookViewId="0">
      <selection activeCell="I43" sqref="I43"/>
    </sheetView>
  </sheetViews>
  <sheetFormatPr defaultRowHeight="12.75" x14ac:dyDescent="0.2"/>
  <cols>
    <col min="1" max="1" width="1.7109375" customWidth="1"/>
    <col min="2" max="2" width="10.140625" bestFit="1" customWidth="1"/>
    <col min="3" max="3" width="17.85546875" customWidth="1"/>
    <col min="4" max="4" width="14.42578125" customWidth="1"/>
  </cols>
  <sheetData>
    <row r="2" spans="2:4" x14ac:dyDescent="0.2">
      <c r="B2" s="11" t="s">
        <v>4</v>
      </c>
      <c r="C2" s="12" t="s">
        <v>1067</v>
      </c>
      <c r="D2" s="13" t="s">
        <v>1068</v>
      </c>
    </row>
    <row r="3" spans="2:4" x14ac:dyDescent="0.2">
      <c r="B3" s="9">
        <v>1955</v>
      </c>
      <c r="C3" s="15">
        <v>0.99793030000000005</v>
      </c>
      <c r="D3" s="7"/>
    </row>
    <row r="4" spans="2:4" x14ac:dyDescent="0.2">
      <c r="B4" s="10">
        <v>1956</v>
      </c>
      <c r="C4" s="16">
        <v>1.0298590000000001</v>
      </c>
      <c r="D4" s="7">
        <f>inflation_year[[#This Row],[CPI Index Value]]/C3-1</f>
        <v>3.1994919885687478E-2</v>
      </c>
    </row>
    <row r="5" spans="2:4" x14ac:dyDescent="0.2">
      <c r="B5" s="9">
        <v>1957</v>
      </c>
      <c r="C5" s="15">
        <v>1.0445059999999999</v>
      </c>
      <c r="D5" s="7">
        <f>inflation_year[[#This Row],[CPI Index Value]]/C4-1</f>
        <v>1.4222335290559052E-2</v>
      </c>
    </row>
    <row r="6" spans="2:4" x14ac:dyDescent="0.2">
      <c r="B6" s="10">
        <v>1958</v>
      </c>
      <c r="C6" s="16">
        <v>1.0612109999999999</v>
      </c>
      <c r="D6" s="7">
        <f>inflation_year[[#This Row],[CPI Index Value]]/C5-1</f>
        <v>1.5993206357838075E-2</v>
      </c>
    </row>
    <row r="7" spans="2:4" x14ac:dyDescent="0.2">
      <c r="B7" s="9">
        <v>1959</v>
      </c>
      <c r="C7" s="15">
        <v>1.0723199999999999</v>
      </c>
      <c r="D7" s="7">
        <f>inflation_year[[#This Row],[CPI Index Value]]/C6-1</f>
        <v>1.0468229221144654E-2</v>
      </c>
    </row>
    <row r="8" spans="2:4" x14ac:dyDescent="0.2">
      <c r="B8" s="10">
        <v>1960</v>
      </c>
      <c r="C8" s="16">
        <v>1.1049899999999999</v>
      </c>
      <c r="D8" s="7">
        <f>inflation_year[[#This Row],[CPI Index Value]]/C7-1</f>
        <v>3.0466651745747475E-2</v>
      </c>
    </row>
    <row r="9" spans="2:4" x14ac:dyDescent="0.2">
      <c r="B9" s="9">
        <v>1961</v>
      </c>
      <c r="C9" s="15">
        <v>1.122106</v>
      </c>
      <c r="D9" s="7">
        <f>inflation_year[[#This Row],[CPI Index Value]]/C8-1</f>
        <v>1.548973293875977E-2</v>
      </c>
    </row>
    <row r="10" spans="2:4" x14ac:dyDescent="0.2">
      <c r="B10" s="10">
        <v>1962</v>
      </c>
      <c r="C10" s="16">
        <v>1.151977</v>
      </c>
      <c r="D10" s="7">
        <f>inflation_year[[#This Row],[CPI Index Value]]/C9-1</f>
        <v>2.6620479705125932E-2</v>
      </c>
    </row>
    <row r="11" spans="2:4" x14ac:dyDescent="0.2">
      <c r="B11" s="9">
        <v>1963</v>
      </c>
      <c r="C11" s="15">
        <v>1.175265</v>
      </c>
      <c r="D11" s="7">
        <f>inflation_year[[#This Row],[CPI Index Value]]/C10-1</f>
        <v>2.0215681389472273E-2</v>
      </c>
    </row>
    <row r="12" spans="2:4" x14ac:dyDescent="0.2">
      <c r="B12" s="10">
        <v>1964</v>
      </c>
      <c r="C12" s="16">
        <v>1.2157519999999999</v>
      </c>
      <c r="D12" s="7">
        <f>inflation_year[[#This Row],[CPI Index Value]]/C11-1</f>
        <v>3.4449251870854569E-2</v>
      </c>
    </row>
    <row r="13" spans="2:4" x14ac:dyDescent="0.2">
      <c r="B13" s="9">
        <v>1965</v>
      </c>
      <c r="C13" s="15">
        <v>1.2573909999999999</v>
      </c>
      <c r="D13" s="7">
        <f>inflation_year[[#This Row],[CPI Index Value]]/C12-1</f>
        <v>3.4249583796695404E-2</v>
      </c>
    </row>
    <row r="14" spans="2:4" x14ac:dyDescent="0.2">
      <c r="B14" s="10">
        <v>1966</v>
      </c>
      <c r="C14" s="16">
        <v>1.320754</v>
      </c>
      <c r="D14" s="7">
        <f>inflation_year[[#This Row],[CPI Index Value]]/C13-1</f>
        <v>5.0392439583232251E-2</v>
      </c>
    </row>
    <row r="15" spans="2:4" x14ac:dyDescent="0.2">
      <c r="B15" s="9">
        <v>1967</v>
      </c>
      <c r="C15" s="15">
        <v>1.393745</v>
      </c>
      <c r="D15" s="7">
        <f>inflation_year[[#This Row],[CPI Index Value]]/C14-1</f>
        <v>5.5264644286521225E-2</v>
      </c>
    </row>
    <row r="16" spans="2:4" x14ac:dyDescent="0.2">
      <c r="B16" s="10">
        <v>1968</v>
      </c>
      <c r="C16" s="16">
        <v>1.478504</v>
      </c>
      <c r="D16" s="7">
        <f>inflation_year[[#This Row],[CPI Index Value]]/C15-1</f>
        <v>6.0813850453275142E-2</v>
      </c>
    </row>
    <row r="17" spans="2:4" x14ac:dyDescent="0.2">
      <c r="B17" s="9">
        <v>1969</v>
      </c>
      <c r="C17" s="15">
        <v>1.608357</v>
      </c>
      <c r="D17" s="7">
        <f>inflation_year[[#This Row],[CPI Index Value]]/C16-1</f>
        <v>8.7827290288020832E-2</v>
      </c>
    </row>
    <row r="18" spans="2:4" x14ac:dyDescent="0.2">
      <c r="B18" s="10">
        <v>1970</v>
      </c>
      <c r="C18" s="16">
        <v>1.7109730000000001</v>
      </c>
      <c r="D18" s="7">
        <f>inflation_year[[#This Row],[CPI Index Value]]/C17-1</f>
        <v>6.3801755456033726E-2</v>
      </c>
    </row>
    <row r="19" spans="2:4" x14ac:dyDescent="0.2">
      <c r="B19" s="9">
        <v>1971</v>
      </c>
      <c r="C19" s="15">
        <v>1.915381</v>
      </c>
      <c r="D19" s="7">
        <f>inflation_year[[#This Row],[CPI Index Value]]/C18-1</f>
        <v>0.11946886362321307</v>
      </c>
    </row>
    <row r="20" spans="2:4" x14ac:dyDescent="0.2">
      <c r="B20" s="10">
        <v>1972</v>
      </c>
      <c r="C20" s="16">
        <v>2.1196250000000001</v>
      </c>
      <c r="D20" s="7">
        <f>inflation_year[[#This Row],[CPI Index Value]]/C19-1</f>
        <v>0.10663361493091972</v>
      </c>
    </row>
    <row r="21" spans="2:4" x14ac:dyDescent="0.2">
      <c r="B21" s="9">
        <v>1973</v>
      </c>
      <c r="C21" s="15">
        <v>2.394638</v>
      </c>
      <c r="D21" s="7">
        <f>inflation_year[[#This Row],[CPI Index Value]]/C20-1</f>
        <v>0.1297460635725658</v>
      </c>
    </row>
    <row r="22" spans="2:4" x14ac:dyDescent="0.2">
      <c r="B22" s="10">
        <v>1974</v>
      </c>
      <c r="C22" s="16">
        <v>2.9952800000000002</v>
      </c>
      <c r="D22" s="7">
        <f>inflation_year[[#This Row],[CPI Index Value]]/C21-1</f>
        <v>0.25082789131384375</v>
      </c>
    </row>
    <row r="23" spans="2:4" x14ac:dyDescent="0.2">
      <c r="B23" s="9">
        <v>1975</v>
      </c>
      <c r="C23" s="15">
        <v>3.4527100000000002</v>
      </c>
      <c r="D23" s="7">
        <f>inflation_year[[#This Row],[CPI Index Value]]/C22-1</f>
        <v>0.15271694132101166</v>
      </c>
    </row>
    <row r="24" spans="2:4" x14ac:dyDescent="0.2">
      <c r="B24" s="10">
        <v>1976</v>
      </c>
      <c r="C24" s="16">
        <v>4.1826780000000001</v>
      </c>
      <c r="D24" s="7">
        <f>inflation_year[[#This Row],[CPI Index Value]]/C23-1</f>
        <v>0.21141885649243641</v>
      </c>
    </row>
    <row r="25" spans="2:4" x14ac:dyDescent="0.2">
      <c r="B25" s="9">
        <v>1977</v>
      </c>
      <c r="C25" s="15">
        <v>5.4800089999999999</v>
      </c>
      <c r="D25" s="7">
        <f>inflation_year[[#This Row],[CPI Index Value]]/C24-1</f>
        <v>0.31016755294096265</v>
      </c>
    </row>
    <row r="26" spans="2:4" x14ac:dyDescent="0.2">
      <c r="B26" s="10">
        <v>1978</v>
      </c>
      <c r="C26" s="16">
        <v>6.6329349999999998</v>
      </c>
      <c r="D26" s="7">
        <f>inflation_year[[#This Row],[CPI Index Value]]/C25-1</f>
        <v>0.21038761067728173</v>
      </c>
    </row>
    <row r="27" spans="2:4" x14ac:dyDescent="0.2">
      <c r="B27" s="9">
        <v>1979</v>
      </c>
      <c r="C27" s="15">
        <v>8.0854970000000002</v>
      </c>
      <c r="D27" s="7">
        <f>inflation_year[[#This Row],[CPI Index Value]]/C26-1</f>
        <v>0.21899234652533162</v>
      </c>
    </row>
    <row r="28" spans="2:4" x14ac:dyDescent="0.2">
      <c r="B28" s="10">
        <v>1980</v>
      </c>
      <c r="C28" s="16">
        <v>9.3684619999999992</v>
      </c>
      <c r="D28" s="7">
        <f>inflation_year[[#This Row],[CPI Index Value]]/C27-1</f>
        <v>0.15867484707495394</v>
      </c>
    </row>
    <row r="29" spans="2:4" x14ac:dyDescent="0.2">
      <c r="B29" s="9">
        <v>1981</v>
      </c>
      <c r="C29" s="15">
        <v>11.15226</v>
      </c>
      <c r="D29" s="7">
        <f>inflation_year[[#This Row],[CPI Index Value]]/C28-1</f>
        <v>0.19040457227664498</v>
      </c>
    </row>
    <row r="30" spans="2:4" x14ac:dyDescent="0.2">
      <c r="B30" s="10">
        <v>1982</v>
      </c>
      <c r="C30" s="16">
        <v>13.569979999999999</v>
      </c>
      <c r="D30" s="7">
        <f>inflation_year[[#This Row],[CPI Index Value]]/C29-1</f>
        <v>0.21679193275623043</v>
      </c>
    </row>
    <row r="31" spans="2:4" x14ac:dyDescent="0.2">
      <c r="B31" s="9">
        <v>1983</v>
      </c>
      <c r="C31" s="15">
        <v>16.82715</v>
      </c>
      <c r="D31" s="7">
        <f>inflation_year[[#This Row],[CPI Index Value]]/C30-1</f>
        <v>0.24002761979015452</v>
      </c>
    </row>
    <row r="32" spans="2:4" x14ac:dyDescent="0.2">
      <c r="B32" s="10">
        <v>1984</v>
      </c>
      <c r="C32" s="16">
        <v>21.603480000000001</v>
      </c>
      <c r="D32" s="7">
        <f>inflation_year[[#This Row],[CPI Index Value]]/C31-1</f>
        <v>0.28384664069673127</v>
      </c>
    </row>
    <row r="33" spans="2:4" x14ac:dyDescent="0.2">
      <c r="B33" s="9">
        <v>1985</v>
      </c>
      <c r="C33" s="15">
        <v>25.80782</v>
      </c>
      <c r="D33" s="7">
        <f>inflation_year[[#This Row],[CPI Index Value]]/C32-1</f>
        <v>0.19461401589003247</v>
      </c>
    </row>
    <row r="34" spans="2:4" x14ac:dyDescent="0.2">
      <c r="B34" s="10">
        <v>1986</v>
      </c>
      <c r="C34" s="16">
        <v>28.990269999999999</v>
      </c>
      <c r="D34" s="7">
        <f>inflation_year[[#This Row],[CPI Index Value]]/C33-1</f>
        <v>0.1233133988070283</v>
      </c>
    </row>
    <row r="35" spans="2:4" x14ac:dyDescent="0.2">
      <c r="B35" s="9">
        <v>1987</v>
      </c>
      <c r="C35" s="15">
        <v>31.783439999999999</v>
      </c>
      <c r="D35" s="7">
        <f>inflation_year[[#This Row],[CPI Index Value]]/C34-1</f>
        <v>9.6348533490719479E-2</v>
      </c>
    </row>
    <row r="36" spans="2:4" x14ac:dyDescent="0.2">
      <c r="B36" s="10">
        <v>1988</v>
      </c>
      <c r="C36" s="16">
        <v>34.994079999999997</v>
      </c>
      <c r="D36" s="7">
        <f>inflation_year[[#This Row],[CPI Index Value]]/C35-1</f>
        <v>0.10101612663701598</v>
      </c>
    </row>
    <row r="37" spans="2:4" x14ac:dyDescent="0.2">
      <c r="B37" s="9">
        <v>1989</v>
      </c>
      <c r="C37" s="15">
        <v>39.433540000000001</v>
      </c>
      <c r="D37" s="7">
        <f>inflation_year[[#This Row],[CPI Index Value]]/C36-1</f>
        <v>0.12686317228514099</v>
      </c>
    </row>
    <row r="38" spans="2:4" x14ac:dyDescent="0.2">
      <c r="B38" s="10">
        <v>1990</v>
      </c>
      <c r="C38" s="16">
        <v>44.80856</v>
      </c>
      <c r="D38" s="7">
        <f>inflation_year[[#This Row],[CPI Index Value]]/C37-1</f>
        <v>0.13630579450893832</v>
      </c>
    </row>
    <row r="39" spans="2:4" x14ac:dyDescent="0.2">
      <c r="B39" s="9">
        <v>1991</v>
      </c>
      <c r="C39" s="15">
        <v>50.118139999999997</v>
      </c>
      <c r="D39" s="7">
        <f>inflation_year[[#This Row],[CPI Index Value]]/C38-1</f>
        <v>0.11849476974935147</v>
      </c>
    </row>
    <row r="40" spans="2:4" x14ac:dyDescent="0.2">
      <c r="B40" s="10">
        <v>1992</v>
      </c>
      <c r="C40" s="16">
        <v>54.909059999999997</v>
      </c>
      <c r="D40" s="7">
        <f>inflation_year[[#This Row],[CPI Index Value]]/C39-1</f>
        <v>9.5592533960757509E-2</v>
      </c>
    </row>
    <row r="41" spans="2:4" x14ac:dyDescent="0.2">
      <c r="B41" s="9">
        <v>1993</v>
      </c>
      <c r="C41" s="15">
        <v>58.633969999999998</v>
      </c>
      <c r="D41" s="7">
        <f>inflation_year[[#This Row],[CPI Index Value]]/C40-1</f>
        <v>6.7837803087505089E-2</v>
      </c>
    </row>
    <row r="42" spans="2:4" x14ac:dyDescent="0.2">
      <c r="B42" s="10">
        <v>1994</v>
      </c>
      <c r="C42" s="16">
        <v>61.812190000000001</v>
      </c>
      <c r="D42" s="7">
        <f>inflation_year[[#This Row],[CPI Index Value]]/C41-1</f>
        <v>5.4204414267019718E-2</v>
      </c>
    </row>
    <row r="43" spans="2:4" x14ac:dyDescent="0.2">
      <c r="B43" s="9">
        <v>1995</v>
      </c>
      <c r="C43" s="15">
        <v>64.422399999999996</v>
      </c>
      <c r="D43" s="7">
        <f>inflation_year[[#This Row],[CPI Index Value]]/C42-1</f>
        <v>4.222807831270825E-2</v>
      </c>
    </row>
    <row r="44" spans="2:4" x14ac:dyDescent="0.2">
      <c r="B44" s="10">
        <v>1996</v>
      </c>
      <c r="C44" s="16">
        <v>66.399510000000006</v>
      </c>
      <c r="D44" s="7">
        <f>inflation_year[[#This Row],[CPI Index Value]]/C43-1</f>
        <v>3.0689791128551747E-2</v>
      </c>
    </row>
    <row r="45" spans="2:4" x14ac:dyDescent="0.2">
      <c r="B45" s="9">
        <v>1997</v>
      </c>
      <c r="C45" s="15">
        <v>67.951179999999994</v>
      </c>
      <c r="D45" s="7">
        <f>inflation_year[[#This Row],[CPI Index Value]]/C44-1</f>
        <v>2.336869654610374E-2</v>
      </c>
    </row>
    <row r="46" spans="2:4" x14ac:dyDescent="0.2">
      <c r="B46" s="10">
        <v>1998</v>
      </c>
      <c r="C46" s="16">
        <v>69.699389999999994</v>
      </c>
      <c r="D46" s="7">
        <f>inflation_year[[#This Row],[CPI Index Value]]/C45-1</f>
        <v>2.5727441377765725E-2</v>
      </c>
    </row>
    <row r="47" spans="2:4" x14ac:dyDescent="0.2">
      <c r="B47" s="9">
        <v>1999</v>
      </c>
      <c r="C47" s="15">
        <v>71.330430000000007</v>
      </c>
      <c r="D47" s="7">
        <f>inflation_year[[#This Row],[CPI Index Value]]/C46-1</f>
        <v>2.3401065633429585E-2</v>
      </c>
    </row>
    <row r="48" spans="2:4" x14ac:dyDescent="0.2">
      <c r="B48" s="10">
        <v>2000</v>
      </c>
      <c r="C48" s="16">
        <v>73.36551</v>
      </c>
      <c r="D48" s="7">
        <f>inflation_year[[#This Row],[CPI Index Value]]/C47-1</f>
        <v>2.8530320089195982E-2</v>
      </c>
    </row>
    <row r="49" spans="2:4" x14ac:dyDescent="0.2">
      <c r="B49" s="9">
        <v>2001</v>
      </c>
      <c r="C49" s="15">
        <v>76.571510000000004</v>
      </c>
      <c r="D49" s="7">
        <f>inflation_year[[#This Row],[CPI Index Value]]/C48-1</f>
        <v>4.3699007885313002E-2</v>
      </c>
    </row>
    <row r="50" spans="2:4" x14ac:dyDescent="0.2">
      <c r="B50" s="10">
        <v>2002</v>
      </c>
      <c r="C50" s="16">
        <v>79.32835</v>
      </c>
      <c r="D50" s="7">
        <f>inflation_year[[#This Row],[CPI Index Value]]/C49-1</f>
        <v>3.6003469175415193E-2</v>
      </c>
    </row>
    <row r="51" spans="2:4" x14ac:dyDescent="0.2">
      <c r="B51" s="9">
        <v>2003</v>
      </c>
      <c r="C51" s="15">
        <v>81.881919999999994</v>
      </c>
      <c r="D51" s="7">
        <f>inflation_year[[#This Row],[CPI Index Value]]/C50-1</f>
        <v>3.2189879154173706E-2</v>
      </c>
    </row>
    <row r="52" spans="2:4" x14ac:dyDescent="0.2">
      <c r="B52" s="10">
        <v>2004</v>
      </c>
      <c r="C52" s="16">
        <v>83.818730000000002</v>
      </c>
      <c r="D52" s="7">
        <f>inflation_year[[#This Row],[CPI Index Value]]/C51-1</f>
        <v>2.3653695467815261E-2</v>
      </c>
    </row>
    <row r="53" spans="2:4" x14ac:dyDescent="0.2">
      <c r="B53" s="9">
        <v>2005</v>
      </c>
      <c r="C53" s="15">
        <v>85.727410000000006</v>
      </c>
      <c r="D53" s="7">
        <f>inflation_year[[#This Row],[CPI Index Value]]/C52-1</f>
        <v>2.2771521353282198E-2</v>
      </c>
    </row>
    <row r="54" spans="2:4" x14ac:dyDescent="0.2">
      <c r="B54" s="10">
        <v>2006</v>
      </c>
      <c r="C54" s="16">
        <v>88.391530000000003</v>
      </c>
      <c r="D54" s="7">
        <f>inflation_year[[#This Row],[CPI Index Value]]/C53-1</f>
        <v>3.107664164821955E-2</v>
      </c>
    </row>
    <row r="55" spans="2:4" x14ac:dyDescent="0.2">
      <c r="B55" s="9">
        <v>2007</v>
      </c>
      <c r="C55" s="15">
        <v>90.560630000000003</v>
      </c>
      <c r="D55" s="7">
        <f>inflation_year[[#This Row],[CPI Index Value]]/C54-1</f>
        <v>2.4539681573562566E-2</v>
      </c>
    </row>
    <row r="56" spans="2:4" x14ac:dyDescent="0.2">
      <c r="B56" s="10">
        <v>2008</v>
      </c>
      <c r="C56" s="16">
        <v>92.904799999999994</v>
      </c>
      <c r="D56" s="7">
        <f>inflation_year[[#This Row],[CPI Index Value]]/C55-1</f>
        <v>2.5885089359471092E-2</v>
      </c>
    </row>
    <row r="57" spans="2:4" x14ac:dyDescent="0.2">
      <c r="B57" s="9">
        <v>2009</v>
      </c>
      <c r="C57" s="15">
        <v>92.128559999999993</v>
      </c>
      <c r="D57" s="7">
        <f>inflation_year[[#This Row],[CPI Index Value]]/C56-1</f>
        <v>-8.355219536557823E-3</v>
      </c>
    </row>
    <row r="58" spans="2:4" x14ac:dyDescent="0.2">
      <c r="B58" s="10">
        <v>2010</v>
      </c>
      <c r="C58" s="16">
        <v>93.420720000000003</v>
      </c>
      <c r="D58" s="7">
        <f>inflation_year[[#This Row],[CPI Index Value]]/C57-1</f>
        <v>1.4025618114513083E-2</v>
      </c>
    </row>
    <row r="59" spans="2:4" x14ac:dyDescent="0.2">
      <c r="B59" s="9">
        <v>2011</v>
      </c>
      <c r="C59" s="15">
        <v>96.833389999999994</v>
      </c>
      <c r="D59" s="7">
        <f>inflation_year[[#This Row],[CPI Index Value]]/C58-1</f>
        <v>3.6530118800197631E-2</v>
      </c>
    </row>
    <row r="60" spans="2:4" x14ac:dyDescent="0.2">
      <c r="B60" s="10">
        <v>2012</v>
      </c>
      <c r="C60" s="16">
        <v>99.518910000000005</v>
      </c>
      <c r="D60" s="7">
        <f>inflation_year[[#This Row],[CPI Index Value]]/C59-1</f>
        <v>2.7733408899554224E-2</v>
      </c>
    </row>
    <row r="61" spans="2:4" x14ac:dyDescent="0.2">
      <c r="B61" s="9">
        <v>2013</v>
      </c>
      <c r="C61" s="15">
        <v>99.792010000000005</v>
      </c>
      <c r="D61" s="7">
        <f>inflation_year[[#This Row],[CPI Index Value]]/C60-1</f>
        <v>2.7442020817953772E-3</v>
      </c>
    </row>
    <row r="62" spans="2:4" x14ac:dyDescent="0.2">
      <c r="B62" s="10">
        <v>2014</v>
      </c>
      <c r="C62" s="16">
        <v>99.514430000000004</v>
      </c>
      <c r="D62" s="7">
        <f>inflation_year[[#This Row],[CPI Index Value]]/C61-1</f>
        <v>-2.7815854195140099E-3</v>
      </c>
    </row>
    <row r="63" spans="2:4" x14ac:dyDescent="0.2">
      <c r="B63" s="9">
        <v>2015</v>
      </c>
      <c r="C63" s="16">
        <v>100</v>
      </c>
      <c r="D63" s="7">
        <f>inflation_year[[#This Row],[CPI Index Value]]/C62-1</f>
        <v>4.8793928679489174E-3</v>
      </c>
    </row>
    <row r="64" spans="2:4" x14ac:dyDescent="0.2">
      <c r="B64" s="10">
        <v>2016</v>
      </c>
      <c r="C64" s="16">
        <v>100.6074</v>
      </c>
      <c r="D64" s="7">
        <f>inflation_year[[#This Row],[CPI Index Value]]/C63-1</f>
        <v>6.0739999999999128E-3</v>
      </c>
    </row>
    <row r="65" spans="2:4" x14ac:dyDescent="0.2">
      <c r="B65" s="9">
        <v>2017</v>
      </c>
      <c r="C65" s="15">
        <v>101.9843</v>
      </c>
      <c r="D65" s="7">
        <f>inflation_year[[#This Row],[CPI Index Value]]/C64-1</f>
        <v>1.3685872013390776E-2</v>
      </c>
    </row>
    <row r="66" spans="2:4" x14ac:dyDescent="0.2">
      <c r="B66" s="10">
        <v>2018</v>
      </c>
      <c r="C66" s="16">
        <v>102.9978</v>
      </c>
      <c r="D66" s="7">
        <f>inflation_year[[#This Row],[CPI Index Value]]/C65-1</f>
        <v>9.9378041522075744E-3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630"/>
  <sheetViews>
    <sheetView zoomScaleNormal="100" workbookViewId="0">
      <selection activeCell="I43" sqref="I43"/>
    </sheetView>
  </sheetViews>
  <sheetFormatPr defaultRowHeight="12.75" x14ac:dyDescent="0.2"/>
  <cols>
    <col min="1" max="1" width="18.28515625" customWidth="1"/>
  </cols>
  <sheetData>
    <row r="3" spans="1:2" x14ac:dyDescent="0.2">
      <c r="A3" s="1" t="s">
        <v>0</v>
      </c>
      <c r="B3" t="s">
        <v>1</v>
      </c>
    </row>
    <row r="4" spans="1:2" x14ac:dyDescent="0.2">
      <c r="A4" s="1" t="s">
        <v>2</v>
      </c>
      <c r="B4" t="s">
        <v>3</v>
      </c>
    </row>
    <row r="7" spans="1:2" x14ac:dyDescent="0.2">
      <c r="A7" s="1" t="s">
        <v>4</v>
      </c>
      <c r="B7" s="1" t="s">
        <v>5</v>
      </c>
    </row>
    <row r="8" spans="1:2" x14ac:dyDescent="0.2">
      <c r="A8" s="2">
        <v>25568</v>
      </c>
      <c r="B8" s="3">
        <v>100</v>
      </c>
    </row>
    <row r="9" spans="1:2" x14ac:dyDescent="0.2">
      <c r="A9" s="2">
        <v>25598</v>
      </c>
      <c r="B9" s="3">
        <v>94.454999999999998</v>
      </c>
    </row>
    <row r="10" spans="1:2" x14ac:dyDescent="0.2">
      <c r="A10" s="2">
        <v>25626</v>
      </c>
      <c r="B10" s="3">
        <v>97.405000000000001</v>
      </c>
    </row>
    <row r="11" spans="1:2" x14ac:dyDescent="0.2">
      <c r="A11" s="2">
        <v>25658</v>
      </c>
      <c r="B11" s="3">
        <v>97.707999999999998</v>
      </c>
    </row>
    <row r="12" spans="1:2" x14ac:dyDescent="0.2">
      <c r="A12" s="2">
        <v>25688</v>
      </c>
      <c r="B12" s="3">
        <v>88.578000000000003</v>
      </c>
    </row>
    <row r="13" spans="1:2" x14ac:dyDescent="0.2">
      <c r="A13" s="2">
        <v>25717</v>
      </c>
      <c r="B13" s="3">
        <v>82.99</v>
      </c>
    </row>
    <row r="14" spans="1:2" x14ac:dyDescent="0.2">
      <c r="A14" s="2">
        <v>25749</v>
      </c>
      <c r="B14" s="3">
        <v>80.945999999999998</v>
      </c>
    </row>
    <row r="15" spans="1:2" x14ac:dyDescent="0.2">
      <c r="A15" s="2">
        <v>25780</v>
      </c>
      <c r="B15" s="3">
        <v>85.965000000000003</v>
      </c>
    </row>
    <row r="16" spans="1:2" x14ac:dyDescent="0.2">
      <c r="A16" s="2">
        <v>25811</v>
      </c>
      <c r="B16" s="3">
        <v>88.799000000000007</v>
      </c>
    </row>
    <row r="17" spans="1:2" x14ac:dyDescent="0.2">
      <c r="A17" s="2">
        <v>25841</v>
      </c>
      <c r="B17" s="3">
        <v>91.667000000000002</v>
      </c>
    </row>
    <row r="18" spans="1:2" x14ac:dyDescent="0.2">
      <c r="A18" s="2">
        <v>25871</v>
      </c>
      <c r="B18" s="3">
        <v>90.313999999999993</v>
      </c>
    </row>
    <row r="19" spans="1:2" x14ac:dyDescent="0.2">
      <c r="A19" s="2">
        <v>25902</v>
      </c>
      <c r="B19" s="3">
        <v>92.337000000000003</v>
      </c>
    </row>
    <row r="20" spans="1:2" x14ac:dyDescent="0.2">
      <c r="A20" s="2">
        <v>25933</v>
      </c>
      <c r="B20" s="3">
        <v>96.915000000000006</v>
      </c>
    </row>
    <row r="21" spans="1:2" x14ac:dyDescent="0.2">
      <c r="A21" s="2">
        <v>25962</v>
      </c>
      <c r="B21" s="3">
        <v>101.369</v>
      </c>
    </row>
    <row r="22" spans="1:2" x14ac:dyDescent="0.2">
      <c r="A22" s="2">
        <v>25990</v>
      </c>
      <c r="B22" s="3">
        <v>102.438</v>
      </c>
    </row>
    <row r="23" spans="1:2" x14ac:dyDescent="0.2">
      <c r="A23" s="2">
        <v>26023</v>
      </c>
      <c r="B23" s="3">
        <v>106.93300000000001</v>
      </c>
    </row>
    <row r="24" spans="1:2" x14ac:dyDescent="0.2">
      <c r="A24" s="2">
        <v>26053</v>
      </c>
      <c r="B24" s="3">
        <v>110.429</v>
      </c>
    </row>
    <row r="25" spans="1:2" x14ac:dyDescent="0.2">
      <c r="A25" s="2">
        <v>26084</v>
      </c>
      <c r="B25" s="3">
        <v>107.81399999999999</v>
      </c>
    </row>
    <row r="26" spans="1:2" x14ac:dyDescent="0.2">
      <c r="A26" s="2">
        <v>26114</v>
      </c>
      <c r="B26" s="3">
        <v>108.90900000000001</v>
      </c>
    </row>
    <row r="27" spans="1:2" x14ac:dyDescent="0.2">
      <c r="A27" s="2">
        <v>26144</v>
      </c>
      <c r="B27" s="3">
        <v>107.16800000000001</v>
      </c>
    </row>
    <row r="28" spans="1:2" x14ac:dyDescent="0.2">
      <c r="A28" s="2">
        <v>26176</v>
      </c>
      <c r="B28" s="3">
        <v>109.50700000000001</v>
      </c>
    </row>
    <row r="29" spans="1:2" x14ac:dyDescent="0.2">
      <c r="A29" s="2">
        <v>26206</v>
      </c>
      <c r="B29" s="3">
        <v>108.46599999999999</v>
      </c>
    </row>
    <row r="30" spans="1:2" x14ac:dyDescent="0.2">
      <c r="A30" s="2">
        <v>26235</v>
      </c>
      <c r="B30" s="3">
        <v>104.351</v>
      </c>
    </row>
    <row r="31" spans="1:2" x14ac:dyDescent="0.2">
      <c r="A31" s="2">
        <v>26267</v>
      </c>
      <c r="B31" s="3">
        <v>105.233</v>
      </c>
    </row>
    <row r="32" spans="1:2" x14ac:dyDescent="0.2">
      <c r="A32" s="2">
        <v>26298</v>
      </c>
      <c r="B32" s="3">
        <v>114.712</v>
      </c>
    </row>
    <row r="33" spans="1:2" x14ac:dyDescent="0.2">
      <c r="A33" s="2">
        <v>26329</v>
      </c>
      <c r="B33" s="3">
        <v>118.911</v>
      </c>
    </row>
    <row r="34" spans="1:2" x14ac:dyDescent="0.2">
      <c r="A34" s="2">
        <v>26358</v>
      </c>
      <c r="B34" s="3">
        <v>123.473</v>
      </c>
    </row>
    <row r="35" spans="1:2" x14ac:dyDescent="0.2">
      <c r="A35" s="2">
        <v>26389</v>
      </c>
      <c r="B35" s="3">
        <v>125.187</v>
      </c>
    </row>
    <row r="36" spans="1:2" x14ac:dyDescent="0.2">
      <c r="A36" s="2">
        <v>26417</v>
      </c>
      <c r="B36" s="3">
        <v>126.848</v>
      </c>
    </row>
    <row r="37" spans="1:2" x14ac:dyDescent="0.2">
      <c r="A37" s="2">
        <v>26450</v>
      </c>
      <c r="B37" s="3">
        <v>129.43199999999999</v>
      </c>
    </row>
    <row r="38" spans="1:2" x14ac:dyDescent="0.2">
      <c r="A38" s="2">
        <v>26480</v>
      </c>
      <c r="B38" s="3">
        <v>126.428</v>
      </c>
    </row>
    <row r="39" spans="1:2" x14ac:dyDescent="0.2">
      <c r="A39" s="2">
        <v>26511</v>
      </c>
      <c r="B39" s="3">
        <v>128.381</v>
      </c>
    </row>
    <row r="40" spans="1:2" x14ac:dyDescent="0.2">
      <c r="A40" s="2">
        <v>26542</v>
      </c>
      <c r="B40" s="3">
        <v>132.02799999999999</v>
      </c>
    </row>
    <row r="41" spans="1:2" x14ac:dyDescent="0.2">
      <c r="A41" s="2">
        <v>26571</v>
      </c>
      <c r="B41" s="3">
        <v>130.01900000000001</v>
      </c>
    </row>
    <row r="42" spans="1:2" x14ac:dyDescent="0.2">
      <c r="A42" s="2">
        <v>26603</v>
      </c>
      <c r="B42" s="3">
        <v>131.09399999999999</v>
      </c>
    </row>
    <row r="43" spans="1:2" x14ac:dyDescent="0.2">
      <c r="A43" s="2">
        <v>26633</v>
      </c>
      <c r="B43" s="3">
        <v>137.97499999999999</v>
      </c>
    </row>
    <row r="44" spans="1:2" x14ac:dyDescent="0.2">
      <c r="A44" s="2">
        <v>26662</v>
      </c>
      <c r="B44" s="3">
        <v>140.50299999999999</v>
      </c>
    </row>
    <row r="45" spans="1:2" x14ac:dyDescent="0.2">
      <c r="A45" s="2">
        <v>26695</v>
      </c>
      <c r="B45" s="3">
        <v>140.82599999999999</v>
      </c>
    </row>
    <row r="46" spans="1:2" x14ac:dyDescent="0.2">
      <c r="A46" s="2">
        <v>26723</v>
      </c>
      <c r="B46" s="3">
        <v>141.79900000000001</v>
      </c>
    </row>
    <row r="47" spans="1:2" x14ac:dyDescent="0.2">
      <c r="A47" s="2">
        <v>26753</v>
      </c>
      <c r="B47" s="3">
        <v>141.99700000000001</v>
      </c>
    </row>
    <row r="48" spans="1:2" x14ac:dyDescent="0.2">
      <c r="A48" s="2">
        <v>26784</v>
      </c>
      <c r="B48" s="3">
        <v>134.84200000000001</v>
      </c>
    </row>
    <row r="49" spans="1:2" x14ac:dyDescent="0.2">
      <c r="A49" s="2">
        <v>26815</v>
      </c>
      <c r="B49" s="3">
        <v>134.44</v>
      </c>
    </row>
    <row r="50" spans="1:2" x14ac:dyDescent="0.2">
      <c r="A50" s="2">
        <v>26844</v>
      </c>
      <c r="B50" s="3">
        <v>135.285</v>
      </c>
    </row>
    <row r="51" spans="1:2" x14ac:dyDescent="0.2">
      <c r="A51" s="2">
        <v>26876</v>
      </c>
      <c r="B51" s="3">
        <v>138.51</v>
      </c>
    </row>
    <row r="52" spans="1:2" x14ac:dyDescent="0.2">
      <c r="A52" s="2">
        <v>26907</v>
      </c>
      <c r="B52" s="3">
        <v>132.74299999999999</v>
      </c>
    </row>
    <row r="53" spans="1:2" x14ac:dyDescent="0.2">
      <c r="A53" s="2">
        <v>26935</v>
      </c>
      <c r="B53" s="3">
        <v>136.584</v>
      </c>
    </row>
    <row r="54" spans="1:2" x14ac:dyDescent="0.2">
      <c r="A54" s="2">
        <v>26968</v>
      </c>
      <c r="B54" s="3">
        <v>137.96199999999999</v>
      </c>
    </row>
    <row r="55" spans="1:2" x14ac:dyDescent="0.2">
      <c r="A55" s="2">
        <v>26998</v>
      </c>
      <c r="B55" s="3">
        <v>120.07299999999999</v>
      </c>
    </row>
    <row r="56" spans="1:2" x14ac:dyDescent="0.2">
      <c r="A56" s="2">
        <v>27029</v>
      </c>
      <c r="B56" s="3">
        <v>119.086</v>
      </c>
    </row>
    <row r="57" spans="1:2" x14ac:dyDescent="0.2">
      <c r="A57" s="2">
        <v>27060</v>
      </c>
      <c r="B57" s="3">
        <v>119.999</v>
      </c>
    </row>
    <row r="58" spans="1:2" x14ac:dyDescent="0.2">
      <c r="A58" s="2">
        <v>27088</v>
      </c>
      <c r="B58" s="3">
        <v>121.866</v>
      </c>
    </row>
    <row r="59" spans="1:2" x14ac:dyDescent="0.2">
      <c r="A59" s="2">
        <v>27117</v>
      </c>
      <c r="B59" s="3">
        <v>118.78</v>
      </c>
    </row>
    <row r="60" spans="1:2" x14ac:dyDescent="0.2">
      <c r="A60" s="2">
        <v>27149</v>
      </c>
      <c r="B60" s="3">
        <v>116.801</v>
      </c>
    </row>
    <row r="61" spans="1:2" x14ac:dyDescent="0.2">
      <c r="A61" s="2">
        <v>27180</v>
      </c>
      <c r="B61" s="3">
        <v>112.098</v>
      </c>
    </row>
    <row r="62" spans="1:2" x14ac:dyDescent="0.2">
      <c r="A62" s="2">
        <v>27208</v>
      </c>
      <c r="B62" s="3">
        <v>108.574</v>
      </c>
    </row>
    <row r="63" spans="1:2" x14ac:dyDescent="0.2">
      <c r="A63" s="2">
        <v>27241</v>
      </c>
      <c r="B63" s="3">
        <v>102.14400000000001</v>
      </c>
    </row>
    <row r="64" spans="1:2" x14ac:dyDescent="0.2">
      <c r="A64" s="2">
        <v>27271</v>
      </c>
      <c r="B64" s="3">
        <v>92.287000000000006</v>
      </c>
    </row>
    <row r="65" spans="1:2" x14ac:dyDescent="0.2">
      <c r="A65" s="2">
        <v>27302</v>
      </c>
      <c r="B65" s="3">
        <v>83.68</v>
      </c>
    </row>
    <row r="66" spans="1:2" x14ac:dyDescent="0.2">
      <c r="A66" s="2">
        <v>27333</v>
      </c>
      <c r="B66" s="3">
        <v>91.688999999999993</v>
      </c>
    </row>
    <row r="67" spans="1:2" x14ac:dyDescent="0.2">
      <c r="A67" s="2">
        <v>27362</v>
      </c>
      <c r="B67" s="3">
        <v>90.257000000000005</v>
      </c>
    </row>
    <row r="68" spans="1:2" x14ac:dyDescent="0.2">
      <c r="A68" s="2">
        <v>27394</v>
      </c>
      <c r="B68" s="3">
        <v>88.757999999999996</v>
      </c>
    </row>
    <row r="69" spans="1:2" x14ac:dyDescent="0.2">
      <c r="A69" s="2">
        <v>27425</v>
      </c>
      <c r="B69" s="3">
        <v>101.70099999999999</v>
      </c>
    </row>
    <row r="70" spans="1:2" x14ac:dyDescent="0.2">
      <c r="A70" s="2">
        <v>27453</v>
      </c>
      <c r="B70" s="3">
        <v>110.68300000000001</v>
      </c>
    </row>
    <row r="71" spans="1:2" x14ac:dyDescent="0.2">
      <c r="A71" s="2">
        <v>27484</v>
      </c>
      <c r="B71" s="3">
        <v>111.494</v>
      </c>
    </row>
    <row r="72" spans="1:2" x14ac:dyDescent="0.2">
      <c r="A72" s="2">
        <v>27514</v>
      </c>
      <c r="B72" s="3">
        <v>116.11199999999999</v>
      </c>
    </row>
    <row r="73" spans="1:2" x14ac:dyDescent="0.2">
      <c r="A73" s="2">
        <v>27544</v>
      </c>
      <c r="B73" s="3">
        <v>118.858</v>
      </c>
    </row>
    <row r="74" spans="1:2" x14ac:dyDescent="0.2">
      <c r="A74" s="2">
        <v>27575</v>
      </c>
      <c r="B74" s="3">
        <v>120.35599999999999</v>
      </c>
    </row>
    <row r="75" spans="1:2" x14ac:dyDescent="0.2">
      <c r="A75" s="2">
        <v>27606</v>
      </c>
      <c r="B75" s="3">
        <v>113.706</v>
      </c>
    </row>
    <row r="76" spans="1:2" x14ac:dyDescent="0.2">
      <c r="A76" s="2">
        <v>27635</v>
      </c>
      <c r="B76" s="3">
        <v>111.94499999999999</v>
      </c>
    </row>
    <row r="77" spans="1:2" x14ac:dyDescent="0.2">
      <c r="A77" s="2">
        <v>27667</v>
      </c>
      <c r="B77" s="3">
        <v>107.251</v>
      </c>
    </row>
    <row r="78" spans="1:2" x14ac:dyDescent="0.2">
      <c r="A78" s="2">
        <v>27698</v>
      </c>
      <c r="B78" s="3">
        <v>114.639</v>
      </c>
    </row>
    <row r="79" spans="1:2" x14ac:dyDescent="0.2">
      <c r="A79" s="2">
        <v>27726</v>
      </c>
      <c r="B79" s="3">
        <v>117.774</v>
      </c>
    </row>
    <row r="80" spans="1:2" x14ac:dyDescent="0.2">
      <c r="A80" s="2">
        <v>27759</v>
      </c>
      <c r="B80" s="3">
        <v>117.875</v>
      </c>
    </row>
    <row r="81" spans="1:2" x14ac:dyDescent="0.2">
      <c r="A81" s="2">
        <v>27789</v>
      </c>
      <c r="B81" s="3">
        <v>128.40799999999999</v>
      </c>
    </row>
    <row r="82" spans="1:2" x14ac:dyDescent="0.2">
      <c r="A82" s="2">
        <v>27817</v>
      </c>
      <c r="B82" s="3">
        <v>127.458</v>
      </c>
    </row>
    <row r="83" spans="1:2" x14ac:dyDescent="0.2">
      <c r="A83" s="2">
        <v>27850</v>
      </c>
      <c r="B83" s="3">
        <v>128.96100000000001</v>
      </c>
    </row>
    <row r="84" spans="1:2" x14ac:dyDescent="0.2">
      <c r="A84" s="2">
        <v>27880</v>
      </c>
      <c r="B84" s="3">
        <v>128.02099999999999</v>
      </c>
    </row>
    <row r="85" spans="1:2" x14ac:dyDescent="0.2">
      <c r="A85" s="2">
        <v>27911</v>
      </c>
      <c r="B85" s="3">
        <v>125.88800000000001</v>
      </c>
    </row>
    <row r="86" spans="1:2" x14ac:dyDescent="0.2">
      <c r="A86" s="2">
        <v>27941</v>
      </c>
      <c r="B86" s="3">
        <v>129.762</v>
      </c>
    </row>
    <row r="87" spans="1:2" x14ac:dyDescent="0.2">
      <c r="A87" s="2">
        <v>27971</v>
      </c>
      <c r="B87" s="3">
        <v>128.548</v>
      </c>
    </row>
    <row r="88" spans="1:2" x14ac:dyDescent="0.2">
      <c r="A88" s="2">
        <v>28003</v>
      </c>
      <c r="B88" s="3">
        <v>128.256</v>
      </c>
    </row>
    <row r="89" spans="1:2" x14ac:dyDescent="0.2">
      <c r="A89" s="2">
        <v>28033</v>
      </c>
      <c r="B89" s="3">
        <v>129.333</v>
      </c>
    </row>
    <row r="90" spans="1:2" x14ac:dyDescent="0.2">
      <c r="A90" s="2">
        <v>28062</v>
      </c>
      <c r="B90" s="3">
        <v>124.80800000000001</v>
      </c>
    </row>
    <row r="91" spans="1:2" x14ac:dyDescent="0.2">
      <c r="A91" s="2">
        <v>28094</v>
      </c>
      <c r="B91" s="3">
        <v>124.318</v>
      </c>
    </row>
    <row r="92" spans="1:2" x14ac:dyDescent="0.2">
      <c r="A92" s="2">
        <v>28125</v>
      </c>
      <c r="B92" s="3">
        <v>133.667</v>
      </c>
    </row>
    <row r="93" spans="1:2" x14ac:dyDescent="0.2">
      <c r="A93" s="2">
        <v>28156</v>
      </c>
      <c r="B93" s="3">
        <v>129.18</v>
      </c>
    </row>
    <row r="94" spans="1:2" x14ac:dyDescent="0.2">
      <c r="A94" s="2">
        <v>28184</v>
      </c>
      <c r="B94" s="3">
        <v>128.613</v>
      </c>
    </row>
    <row r="95" spans="1:2" x14ac:dyDescent="0.2">
      <c r="A95" s="2">
        <v>28215</v>
      </c>
      <c r="B95" s="3">
        <v>127.809</v>
      </c>
    </row>
    <row r="96" spans="1:2" x14ac:dyDescent="0.2">
      <c r="A96" s="2">
        <v>28244</v>
      </c>
      <c r="B96" s="3">
        <v>129.20599999999999</v>
      </c>
    </row>
    <row r="97" spans="1:2" x14ac:dyDescent="0.2">
      <c r="A97" s="2">
        <v>28276</v>
      </c>
      <c r="B97" s="3">
        <v>127.45099999999999</v>
      </c>
    </row>
    <row r="98" spans="1:2" x14ac:dyDescent="0.2">
      <c r="A98" s="2">
        <v>28306</v>
      </c>
      <c r="B98" s="3">
        <v>132.249</v>
      </c>
    </row>
    <row r="99" spans="1:2" x14ac:dyDescent="0.2">
      <c r="A99" s="2">
        <v>28335</v>
      </c>
      <c r="B99" s="3">
        <v>130.476</v>
      </c>
    </row>
    <row r="100" spans="1:2" x14ac:dyDescent="0.2">
      <c r="A100" s="2">
        <v>28368</v>
      </c>
      <c r="B100" s="3">
        <v>130.958</v>
      </c>
    </row>
    <row r="101" spans="1:2" x14ac:dyDescent="0.2">
      <c r="A101" s="2">
        <v>28398</v>
      </c>
      <c r="B101" s="3">
        <v>132.589</v>
      </c>
    </row>
    <row r="102" spans="1:2" x14ac:dyDescent="0.2">
      <c r="A102" s="2">
        <v>28429</v>
      </c>
      <c r="B102" s="3">
        <v>130.32400000000001</v>
      </c>
    </row>
    <row r="103" spans="1:2" x14ac:dyDescent="0.2">
      <c r="A103" s="2">
        <v>28459</v>
      </c>
      <c r="B103" s="3">
        <v>131.95699999999999</v>
      </c>
    </row>
    <row r="104" spans="1:2" x14ac:dyDescent="0.2">
      <c r="A104" s="2">
        <v>28489</v>
      </c>
      <c r="B104" s="3">
        <v>134.57499999999999</v>
      </c>
    </row>
    <row r="105" spans="1:2" x14ac:dyDescent="0.2">
      <c r="A105" s="2">
        <v>28521</v>
      </c>
      <c r="B105" s="3">
        <v>130.61600000000001</v>
      </c>
    </row>
    <row r="106" spans="1:2" x14ac:dyDescent="0.2">
      <c r="A106" s="2">
        <v>28549</v>
      </c>
      <c r="B106" s="3">
        <v>129.61199999999999</v>
      </c>
    </row>
    <row r="107" spans="1:2" x14ac:dyDescent="0.2">
      <c r="A107" s="2">
        <v>28580</v>
      </c>
      <c r="B107" s="3">
        <v>135.47499999999999</v>
      </c>
    </row>
    <row r="108" spans="1:2" x14ac:dyDescent="0.2">
      <c r="A108" s="2">
        <v>28608</v>
      </c>
      <c r="B108" s="3">
        <v>141.55600000000001</v>
      </c>
    </row>
    <row r="109" spans="1:2" x14ac:dyDescent="0.2">
      <c r="A109" s="2">
        <v>28641</v>
      </c>
      <c r="B109" s="3">
        <v>143.33099999999999</v>
      </c>
    </row>
    <row r="110" spans="1:2" x14ac:dyDescent="0.2">
      <c r="A110" s="2">
        <v>28671</v>
      </c>
      <c r="B110" s="3">
        <v>144.75</v>
      </c>
    </row>
    <row r="111" spans="1:2" x14ac:dyDescent="0.2">
      <c r="A111" s="2">
        <v>28702</v>
      </c>
      <c r="B111" s="3">
        <v>155.18100000000001</v>
      </c>
    </row>
    <row r="112" spans="1:2" x14ac:dyDescent="0.2">
      <c r="A112" s="2">
        <v>28733</v>
      </c>
      <c r="B112" s="3">
        <v>158.73699999999999</v>
      </c>
    </row>
    <row r="113" spans="1:2" x14ac:dyDescent="0.2">
      <c r="A113" s="2">
        <v>28762</v>
      </c>
      <c r="B113" s="3">
        <v>160.56100000000001</v>
      </c>
    </row>
    <row r="114" spans="1:2" x14ac:dyDescent="0.2">
      <c r="A114" s="2">
        <v>28794</v>
      </c>
      <c r="B114" s="3">
        <v>157.43199999999999</v>
      </c>
    </row>
    <row r="115" spans="1:2" x14ac:dyDescent="0.2">
      <c r="A115" s="2">
        <v>28824</v>
      </c>
      <c r="B115" s="3">
        <v>151.85900000000001</v>
      </c>
    </row>
    <row r="116" spans="1:2" x14ac:dyDescent="0.2">
      <c r="A116" s="2">
        <v>28853</v>
      </c>
      <c r="B116" s="3">
        <v>156.80500000000001</v>
      </c>
    </row>
    <row r="117" spans="1:2" x14ac:dyDescent="0.2">
      <c r="A117" s="2">
        <v>28886</v>
      </c>
      <c r="B117" s="3">
        <v>160.81100000000001</v>
      </c>
    </row>
    <row r="118" spans="1:2" x14ac:dyDescent="0.2">
      <c r="A118" s="2">
        <v>28914</v>
      </c>
      <c r="B118" s="3">
        <v>157.72</v>
      </c>
    </row>
    <row r="119" spans="1:2" x14ac:dyDescent="0.2">
      <c r="A119" s="2">
        <v>28944</v>
      </c>
      <c r="B119" s="3">
        <v>164.31800000000001</v>
      </c>
    </row>
    <row r="120" spans="1:2" x14ac:dyDescent="0.2">
      <c r="A120" s="2">
        <v>28975</v>
      </c>
      <c r="B120" s="3">
        <v>164.06700000000001</v>
      </c>
    </row>
    <row r="121" spans="1:2" x14ac:dyDescent="0.2">
      <c r="A121" s="2">
        <v>29006</v>
      </c>
      <c r="B121" s="3">
        <v>161.215</v>
      </c>
    </row>
    <row r="122" spans="1:2" x14ac:dyDescent="0.2">
      <c r="A122" s="2">
        <v>29035</v>
      </c>
      <c r="B122" s="3">
        <v>165.86099999999999</v>
      </c>
    </row>
    <row r="123" spans="1:2" x14ac:dyDescent="0.2">
      <c r="A123" s="2">
        <v>29067</v>
      </c>
      <c r="B123" s="3">
        <v>167.09399999999999</v>
      </c>
    </row>
    <row r="124" spans="1:2" x14ac:dyDescent="0.2">
      <c r="A124" s="2">
        <v>29098</v>
      </c>
      <c r="B124" s="3">
        <v>173.78700000000001</v>
      </c>
    </row>
    <row r="125" spans="1:2" x14ac:dyDescent="0.2">
      <c r="A125" s="2">
        <v>29126</v>
      </c>
      <c r="B125" s="3">
        <v>177.67500000000001</v>
      </c>
    </row>
    <row r="126" spans="1:2" x14ac:dyDescent="0.2">
      <c r="A126" s="2">
        <v>29159</v>
      </c>
      <c r="B126" s="3">
        <v>164.44</v>
      </c>
    </row>
    <row r="127" spans="1:2" x14ac:dyDescent="0.2">
      <c r="A127" s="2">
        <v>29189</v>
      </c>
      <c r="B127" s="3">
        <v>169.47399999999999</v>
      </c>
    </row>
    <row r="128" spans="1:2" x14ac:dyDescent="0.2">
      <c r="A128" s="2">
        <v>29220</v>
      </c>
      <c r="B128" s="3">
        <v>173.98</v>
      </c>
    </row>
    <row r="129" spans="1:2" x14ac:dyDescent="0.2">
      <c r="A129" s="2">
        <v>29251</v>
      </c>
      <c r="B129" s="3">
        <v>184.435</v>
      </c>
    </row>
    <row r="130" spans="1:2" x14ac:dyDescent="0.2">
      <c r="A130" s="2">
        <v>29280</v>
      </c>
      <c r="B130" s="3">
        <v>184.50299999999999</v>
      </c>
    </row>
    <row r="131" spans="1:2" x14ac:dyDescent="0.2">
      <c r="A131" s="2">
        <v>29311</v>
      </c>
      <c r="B131" s="3">
        <v>164.62899999999999</v>
      </c>
    </row>
    <row r="132" spans="1:2" x14ac:dyDescent="0.2">
      <c r="A132" s="2">
        <v>29341</v>
      </c>
      <c r="B132" s="3">
        <v>175.38300000000001</v>
      </c>
    </row>
    <row r="133" spans="1:2" x14ac:dyDescent="0.2">
      <c r="A133" s="2">
        <v>29371</v>
      </c>
      <c r="B133" s="3">
        <v>183.99199999999999</v>
      </c>
    </row>
    <row r="134" spans="1:2" x14ac:dyDescent="0.2">
      <c r="A134" s="2">
        <v>29402</v>
      </c>
      <c r="B134" s="3">
        <v>192.78100000000001</v>
      </c>
    </row>
    <row r="135" spans="1:2" x14ac:dyDescent="0.2">
      <c r="A135" s="2">
        <v>29433</v>
      </c>
      <c r="B135" s="3">
        <v>198.672</v>
      </c>
    </row>
    <row r="136" spans="1:2" x14ac:dyDescent="0.2">
      <c r="A136" s="2">
        <v>29462</v>
      </c>
      <c r="B136" s="3">
        <v>202.52099999999999</v>
      </c>
    </row>
    <row r="137" spans="1:2" x14ac:dyDescent="0.2">
      <c r="A137" s="2">
        <v>29494</v>
      </c>
      <c r="B137" s="3">
        <v>208.571</v>
      </c>
    </row>
    <row r="138" spans="1:2" x14ac:dyDescent="0.2">
      <c r="A138" s="2">
        <v>29525</v>
      </c>
      <c r="B138" s="3">
        <v>214.614</v>
      </c>
    </row>
    <row r="139" spans="1:2" x14ac:dyDescent="0.2">
      <c r="A139" s="2">
        <v>29553</v>
      </c>
      <c r="B139" s="3">
        <v>223.55600000000001</v>
      </c>
    </row>
    <row r="140" spans="1:2" x14ac:dyDescent="0.2">
      <c r="A140" s="2">
        <v>29586</v>
      </c>
      <c r="B140" s="3">
        <v>218.64400000000001</v>
      </c>
    </row>
    <row r="141" spans="1:2" x14ac:dyDescent="0.2">
      <c r="A141" s="2">
        <v>29616</v>
      </c>
      <c r="B141" s="3">
        <v>212.25</v>
      </c>
    </row>
    <row r="142" spans="1:2" x14ac:dyDescent="0.2">
      <c r="A142" s="2">
        <v>29644</v>
      </c>
      <c r="B142" s="3">
        <v>212.83799999999999</v>
      </c>
    </row>
    <row r="143" spans="1:2" x14ac:dyDescent="0.2">
      <c r="A143" s="2">
        <v>29676</v>
      </c>
      <c r="B143" s="3">
        <v>220.375</v>
      </c>
    </row>
    <row r="144" spans="1:2" x14ac:dyDescent="0.2">
      <c r="A144" s="2">
        <v>29706</v>
      </c>
      <c r="B144" s="3">
        <v>220.452</v>
      </c>
    </row>
    <row r="145" spans="1:2" x14ac:dyDescent="0.2">
      <c r="A145" s="2">
        <v>29735</v>
      </c>
      <c r="B145" s="3">
        <v>216.119</v>
      </c>
    </row>
    <row r="146" spans="1:2" x14ac:dyDescent="0.2">
      <c r="A146" s="2">
        <v>29767</v>
      </c>
      <c r="B146" s="3">
        <v>215.71700000000001</v>
      </c>
    </row>
    <row r="147" spans="1:2" x14ac:dyDescent="0.2">
      <c r="A147" s="2">
        <v>29798</v>
      </c>
      <c r="B147" s="3">
        <v>212.04300000000001</v>
      </c>
    </row>
    <row r="148" spans="1:2" x14ac:dyDescent="0.2">
      <c r="A148" s="2">
        <v>29829</v>
      </c>
      <c r="B148" s="3">
        <v>207.83799999999999</v>
      </c>
    </row>
    <row r="149" spans="1:2" x14ac:dyDescent="0.2">
      <c r="A149" s="2">
        <v>29859</v>
      </c>
      <c r="B149" s="3">
        <v>192.18600000000001</v>
      </c>
    </row>
    <row r="150" spans="1:2" x14ac:dyDescent="0.2">
      <c r="A150" s="2">
        <v>29889</v>
      </c>
      <c r="B150" s="3">
        <v>198.04400000000001</v>
      </c>
    </row>
    <row r="151" spans="1:2" x14ac:dyDescent="0.2">
      <c r="A151" s="2">
        <v>29920</v>
      </c>
      <c r="B151" s="3">
        <v>212.73099999999999</v>
      </c>
    </row>
    <row r="152" spans="1:2" x14ac:dyDescent="0.2">
      <c r="A152" s="2">
        <v>29951</v>
      </c>
      <c r="B152" s="3">
        <v>208.18100000000001</v>
      </c>
    </row>
    <row r="153" spans="1:2" x14ac:dyDescent="0.2">
      <c r="A153" s="2">
        <v>29980</v>
      </c>
      <c r="B153" s="3">
        <v>205.08699999999999</v>
      </c>
    </row>
    <row r="154" spans="1:2" x14ac:dyDescent="0.2">
      <c r="A154" s="2">
        <v>30008</v>
      </c>
      <c r="B154" s="3">
        <v>192.63399999999999</v>
      </c>
    </row>
    <row r="155" spans="1:2" x14ac:dyDescent="0.2">
      <c r="A155" s="2">
        <v>30041</v>
      </c>
      <c r="B155" s="3">
        <v>187.34100000000001</v>
      </c>
    </row>
    <row r="156" spans="1:2" x14ac:dyDescent="0.2">
      <c r="A156" s="2">
        <v>30071</v>
      </c>
      <c r="B156" s="3">
        <v>196.50200000000001</v>
      </c>
    </row>
    <row r="157" spans="1:2" x14ac:dyDescent="0.2">
      <c r="A157" s="2">
        <v>30102</v>
      </c>
      <c r="B157" s="3">
        <v>191.51300000000001</v>
      </c>
    </row>
    <row r="158" spans="1:2" x14ac:dyDescent="0.2">
      <c r="A158" s="2">
        <v>30132</v>
      </c>
      <c r="B158" s="3">
        <v>182.82599999999999</v>
      </c>
    </row>
    <row r="159" spans="1:2" x14ac:dyDescent="0.2">
      <c r="A159" s="2">
        <v>30162</v>
      </c>
      <c r="B159" s="3">
        <v>180.43899999999999</v>
      </c>
    </row>
    <row r="160" spans="1:2" x14ac:dyDescent="0.2">
      <c r="A160" s="2">
        <v>30194</v>
      </c>
      <c r="B160" s="3">
        <v>193.49100000000001</v>
      </c>
    </row>
    <row r="161" spans="1:2" x14ac:dyDescent="0.2">
      <c r="A161" s="2">
        <v>30224</v>
      </c>
      <c r="B161" s="3">
        <v>194.351</v>
      </c>
    </row>
    <row r="162" spans="1:2" x14ac:dyDescent="0.2">
      <c r="A162" s="2">
        <v>30253</v>
      </c>
      <c r="B162" s="3">
        <v>207.66399999999999</v>
      </c>
    </row>
    <row r="163" spans="1:2" x14ac:dyDescent="0.2">
      <c r="A163" s="2">
        <v>30285</v>
      </c>
      <c r="B163" s="3">
        <v>218.62100000000001</v>
      </c>
    </row>
    <row r="164" spans="1:2" x14ac:dyDescent="0.2">
      <c r="A164" s="2">
        <v>30316</v>
      </c>
      <c r="B164" s="3">
        <v>228.392</v>
      </c>
    </row>
    <row r="165" spans="1:2" x14ac:dyDescent="0.2">
      <c r="A165" s="2">
        <v>30347</v>
      </c>
      <c r="B165" s="3">
        <v>233.22300000000001</v>
      </c>
    </row>
    <row r="166" spans="1:2" x14ac:dyDescent="0.2">
      <c r="A166" s="2">
        <v>30375</v>
      </c>
      <c r="B166" s="3">
        <v>238.07400000000001</v>
      </c>
    </row>
    <row r="167" spans="1:2" x14ac:dyDescent="0.2">
      <c r="A167" s="2">
        <v>30406</v>
      </c>
      <c r="B167" s="3">
        <v>246.40700000000001</v>
      </c>
    </row>
    <row r="168" spans="1:2" x14ac:dyDescent="0.2">
      <c r="A168" s="2">
        <v>30435</v>
      </c>
      <c r="B168" s="3">
        <v>263.95299999999997</v>
      </c>
    </row>
    <row r="169" spans="1:2" x14ac:dyDescent="0.2">
      <c r="A169" s="2">
        <v>30467</v>
      </c>
      <c r="B169" s="3">
        <v>261.32299999999998</v>
      </c>
    </row>
    <row r="170" spans="1:2" x14ac:dyDescent="0.2">
      <c r="A170" s="2">
        <v>30497</v>
      </c>
      <c r="B170" s="3">
        <v>269.48399999999998</v>
      </c>
    </row>
    <row r="171" spans="1:2" x14ac:dyDescent="0.2">
      <c r="A171" s="2">
        <v>30526</v>
      </c>
      <c r="B171" s="3">
        <v>264.63400000000001</v>
      </c>
    </row>
    <row r="172" spans="1:2" x14ac:dyDescent="0.2">
      <c r="A172" s="2">
        <v>30559</v>
      </c>
      <c r="B172" s="3">
        <v>266.012</v>
      </c>
    </row>
    <row r="173" spans="1:2" x14ac:dyDescent="0.2">
      <c r="A173" s="2">
        <v>30589</v>
      </c>
      <c r="B173" s="3">
        <v>271.35399999999998</v>
      </c>
    </row>
    <row r="174" spans="1:2" x14ac:dyDescent="0.2">
      <c r="A174" s="2">
        <v>30620</v>
      </c>
      <c r="B174" s="3">
        <v>268.11900000000003</v>
      </c>
    </row>
    <row r="175" spans="1:2" x14ac:dyDescent="0.2">
      <c r="A175" s="2">
        <v>30650</v>
      </c>
      <c r="B175" s="3">
        <v>275.00099999999998</v>
      </c>
    </row>
    <row r="176" spans="1:2" x14ac:dyDescent="0.2">
      <c r="A176" s="2">
        <v>30680</v>
      </c>
      <c r="B176" s="3">
        <v>278.47399999999999</v>
      </c>
    </row>
    <row r="177" spans="1:2" x14ac:dyDescent="0.2">
      <c r="A177" s="2">
        <v>30712</v>
      </c>
      <c r="B177" s="3">
        <v>280.73899999999998</v>
      </c>
    </row>
    <row r="178" spans="1:2" x14ac:dyDescent="0.2">
      <c r="A178" s="2">
        <v>30741</v>
      </c>
      <c r="B178" s="3">
        <v>276.06200000000001</v>
      </c>
    </row>
    <row r="179" spans="1:2" x14ac:dyDescent="0.2">
      <c r="A179" s="2">
        <v>30771</v>
      </c>
      <c r="B179" s="3">
        <v>289.00599999999997</v>
      </c>
    </row>
    <row r="180" spans="1:2" x14ac:dyDescent="0.2">
      <c r="A180" s="2">
        <v>30802</v>
      </c>
      <c r="B180" s="3">
        <v>287.90899999999999</v>
      </c>
    </row>
    <row r="181" spans="1:2" x14ac:dyDescent="0.2">
      <c r="A181" s="2">
        <v>30833</v>
      </c>
      <c r="B181" s="3">
        <v>266.28399999999999</v>
      </c>
    </row>
    <row r="182" spans="1:2" x14ac:dyDescent="0.2">
      <c r="A182" s="2">
        <v>30862</v>
      </c>
      <c r="B182" s="3">
        <v>268.54000000000002</v>
      </c>
    </row>
    <row r="183" spans="1:2" x14ac:dyDescent="0.2">
      <c r="A183" s="2">
        <v>30894</v>
      </c>
      <c r="B183" s="3">
        <v>259.05</v>
      </c>
    </row>
    <row r="184" spans="1:2" x14ac:dyDescent="0.2">
      <c r="A184" s="2">
        <v>30925</v>
      </c>
      <c r="B184" s="3">
        <v>284.99799999999999</v>
      </c>
    </row>
    <row r="185" spans="1:2" x14ac:dyDescent="0.2">
      <c r="A185" s="2">
        <v>30953</v>
      </c>
      <c r="B185" s="3">
        <v>283.86799999999999</v>
      </c>
    </row>
    <row r="186" spans="1:2" x14ac:dyDescent="0.2">
      <c r="A186" s="2">
        <v>30986</v>
      </c>
      <c r="B186" s="3">
        <v>286.84699999999998</v>
      </c>
    </row>
    <row r="187" spans="1:2" x14ac:dyDescent="0.2">
      <c r="A187" s="2">
        <v>31016</v>
      </c>
      <c r="B187" s="3">
        <v>285.71699999999998</v>
      </c>
    </row>
    <row r="188" spans="1:2" x14ac:dyDescent="0.2">
      <c r="A188" s="2">
        <v>31047</v>
      </c>
      <c r="B188" s="3">
        <v>291.613</v>
      </c>
    </row>
    <row r="189" spans="1:2" x14ac:dyDescent="0.2">
      <c r="A189" s="2">
        <v>31078</v>
      </c>
      <c r="B189" s="3">
        <v>307.63600000000002</v>
      </c>
    </row>
    <row r="190" spans="1:2" x14ac:dyDescent="0.2">
      <c r="A190" s="2">
        <v>31106</v>
      </c>
      <c r="B190" s="3">
        <v>308.161</v>
      </c>
    </row>
    <row r="191" spans="1:2" x14ac:dyDescent="0.2">
      <c r="A191" s="2">
        <v>31135</v>
      </c>
      <c r="B191" s="3">
        <v>318.779</v>
      </c>
    </row>
    <row r="192" spans="1:2" x14ac:dyDescent="0.2">
      <c r="A192" s="2">
        <v>31167</v>
      </c>
      <c r="B192" s="3">
        <v>317.82400000000001</v>
      </c>
    </row>
    <row r="193" spans="1:2" x14ac:dyDescent="0.2">
      <c r="A193" s="2">
        <v>31198</v>
      </c>
      <c r="B193" s="3">
        <v>334.07600000000002</v>
      </c>
    </row>
    <row r="194" spans="1:2" x14ac:dyDescent="0.2">
      <c r="A194" s="2">
        <v>31226</v>
      </c>
      <c r="B194" s="3">
        <v>339.95299999999997</v>
      </c>
    </row>
    <row r="195" spans="1:2" x14ac:dyDescent="0.2">
      <c r="A195" s="2">
        <v>31259</v>
      </c>
      <c r="B195" s="3">
        <v>346.88200000000001</v>
      </c>
    </row>
    <row r="196" spans="1:2" x14ac:dyDescent="0.2">
      <c r="A196" s="2">
        <v>31289</v>
      </c>
      <c r="B196" s="3">
        <v>349.63900000000001</v>
      </c>
    </row>
    <row r="197" spans="1:2" x14ac:dyDescent="0.2">
      <c r="A197" s="2">
        <v>31320</v>
      </c>
      <c r="B197" s="3">
        <v>352.16199999999998</v>
      </c>
    </row>
    <row r="198" spans="1:2" x14ac:dyDescent="0.2">
      <c r="A198" s="2">
        <v>31351</v>
      </c>
      <c r="B198" s="3">
        <v>371.024</v>
      </c>
    </row>
    <row r="199" spans="1:2" x14ac:dyDescent="0.2">
      <c r="A199" s="2">
        <v>31380</v>
      </c>
      <c r="B199" s="3">
        <v>391.66800000000001</v>
      </c>
    </row>
    <row r="200" spans="1:2" x14ac:dyDescent="0.2">
      <c r="A200" s="2">
        <v>31412</v>
      </c>
      <c r="B200" s="3">
        <v>409.90499999999997</v>
      </c>
    </row>
    <row r="201" spans="1:2" x14ac:dyDescent="0.2">
      <c r="A201" s="2">
        <v>31443</v>
      </c>
      <c r="B201" s="3">
        <v>415.86799999999999</v>
      </c>
    </row>
    <row r="202" spans="1:2" x14ac:dyDescent="0.2">
      <c r="A202" s="2">
        <v>31471</v>
      </c>
      <c r="B202" s="3">
        <v>453.23399999999998</v>
      </c>
    </row>
    <row r="203" spans="1:2" x14ac:dyDescent="0.2">
      <c r="A203" s="2">
        <v>31502</v>
      </c>
      <c r="B203" s="3">
        <v>497.416</v>
      </c>
    </row>
    <row r="204" spans="1:2" x14ac:dyDescent="0.2">
      <c r="A204" s="2">
        <v>31532</v>
      </c>
      <c r="B204" s="3">
        <v>510.97</v>
      </c>
    </row>
    <row r="205" spans="1:2" x14ac:dyDescent="0.2">
      <c r="A205" s="2">
        <v>31562</v>
      </c>
      <c r="B205" s="3">
        <v>509.36799999999999</v>
      </c>
    </row>
    <row r="206" spans="1:2" x14ac:dyDescent="0.2">
      <c r="A206" s="2">
        <v>31593</v>
      </c>
      <c r="B206" s="3">
        <v>529.67399999999998</v>
      </c>
    </row>
    <row r="207" spans="1:2" x14ac:dyDescent="0.2">
      <c r="A207" s="2">
        <v>31624</v>
      </c>
      <c r="B207" s="3">
        <v>533.79499999999996</v>
      </c>
    </row>
    <row r="208" spans="1:2" x14ac:dyDescent="0.2">
      <c r="A208" s="2">
        <v>31653</v>
      </c>
      <c r="B208" s="3">
        <v>580.29899999999998</v>
      </c>
    </row>
    <row r="209" spans="1:2" x14ac:dyDescent="0.2">
      <c r="A209" s="2">
        <v>31685</v>
      </c>
      <c r="B209" s="3">
        <v>557.09400000000005</v>
      </c>
    </row>
    <row r="210" spans="1:2" x14ac:dyDescent="0.2">
      <c r="A210" s="2">
        <v>31716</v>
      </c>
      <c r="B210" s="3">
        <v>547.38</v>
      </c>
    </row>
    <row r="211" spans="1:2" x14ac:dyDescent="0.2">
      <c r="A211" s="2">
        <v>31744</v>
      </c>
      <c r="B211" s="3">
        <v>570.39200000000005</v>
      </c>
    </row>
    <row r="212" spans="1:2" x14ac:dyDescent="0.2">
      <c r="A212" s="2">
        <v>31777</v>
      </c>
      <c r="B212" s="3">
        <v>581.61300000000006</v>
      </c>
    </row>
    <row r="213" spans="1:2" x14ac:dyDescent="0.2">
      <c r="A213" s="2">
        <v>31807</v>
      </c>
      <c r="B213" s="3">
        <v>649.78</v>
      </c>
    </row>
    <row r="214" spans="1:2" x14ac:dyDescent="0.2">
      <c r="A214" s="2">
        <v>31835</v>
      </c>
      <c r="B214" s="3">
        <v>671.04600000000005</v>
      </c>
    </row>
    <row r="215" spans="1:2" x14ac:dyDescent="0.2">
      <c r="A215" s="2">
        <v>31867</v>
      </c>
      <c r="B215" s="3">
        <v>712.43799999999999</v>
      </c>
    </row>
    <row r="216" spans="1:2" x14ac:dyDescent="0.2">
      <c r="A216" s="2">
        <v>31897</v>
      </c>
      <c r="B216" s="3">
        <v>754.04899999999998</v>
      </c>
    </row>
    <row r="217" spans="1:2" x14ac:dyDescent="0.2">
      <c r="A217" s="2">
        <v>31926</v>
      </c>
      <c r="B217" s="3">
        <v>754.92899999999997</v>
      </c>
    </row>
    <row r="218" spans="1:2" x14ac:dyDescent="0.2">
      <c r="A218" s="2">
        <v>31958</v>
      </c>
      <c r="B218" s="3">
        <v>754.32</v>
      </c>
    </row>
    <row r="219" spans="1:2" x14ac:dyDescent="0.2">
      <c r="A219" s="2">
        <v>31989</v>
      </c>
      <c r="B219" s="3">
        <v>769.21799999999996</v>
      </c>
    </row>
    <row r="220" spans="1:2" x14ac:dyDescent="0.2">
      <c r="A220" s="2">
        <v>32020</v>
      </c>
      <c r="B220" s="3">
        <v>814.51</v>
      </c>
    </row>
    <row r="221" spans="1:2" x14ac:dyDescent="0.2">
      <c r="A221" s="2">
        <v>32050</v>
      </c>
      <c r="B221" s="3">
        <v>800.149</v>
      </c>
    </row>
    <row r="222" spans="1:2" x14ac:dyDescent="0.2">
      <c r="A222" s="2">
        <v>32080</v>
      </c>
      <c r="B222" s="3">
        <v>664.10599999999999</v>
      </c>
    </row>
    <row r="223" spans="1:2" x14ac:dyDescent="0.2">
      <c r="A223" s="2">
        <v>32111</v>
      </c>
      <c r="B223" s="3">
        <v>647.75900000000001</v>
      </c>
    </row>
    <row r="224" spans="1:2" x14ac:dyDescent="0.2">
      <c r="A224" s="2">
        <v>32142</v>
      </c>
      <c r="B224" s="3">
        <v>675.62400000000002</v>
      </c>
    </row>
    <row r="225" spans="1:2" x14ac:dyDescent="0.2">
      <c r="A225" s="2">
        <v>32171</v>
      </c>
      <c r="B225" s="3">
        <v>691.91300000000001</v>
      </c>
    </row>
    <row r="226" spans="1:2" x14ac:dyDescent="0.2">
      <c r="A226" s="2">
        <v>32202</v>
      </c>
      <c r="B226" s="3">
        <v>731.87</v>
      </c>
    </row>
    <row r="227" spans="1:2" x14ac:dyDescent="0.2">
      <c r="A227" s="2">
        <v>32233</v>
      </c>
      <c r="B227" s="3">
        <v>753.77</v>
      </c>
    </row>
    <row r="228" spans="1:2" x14ac:dyDescent="0.2">
      <c r="A228" s="2">
        <v>32262</v>
      </c>
      <c r="B228" s="3">
        <v>763.07600000000002</v>
      </c>
    </row>
    <row r="229" spans="1:2" x14ac:dyDescent="0.2">
      <c r="A229" s="2">
        <v>32294</v>
      </c>
      <c r="B229" s="3">
        <v>747.62400000000002</v>
      </c>
    </row>
    <row r="230" spans="1:2" x14ac:dyDescent="0.2">
      <c r="A230" s="2">
        <v>32324</v>
      </c>
      <c r="B230" s="3">
        <v>746.38699999999994</v>
      </c>
    </row>
    <row r="231" spans="1:2" x14ac:dyDescent="0.2">
      <c r="A231" s="2">
        <v>32353</v>
      </c>
      <c r="B231" s="3">
        <v>760.221</v>
      </c>
    </row>
    <row r="232" spans="1:2" x14ac:dyDescent="0.2">
      <c r="A232" s="2">
        <v>32386</v>
      </c>
      <c r="B232" s="3">
        <v>718.25300000000004</v>
      </c>
    </row>
    <row r="233" spans="1:2" x14ac:dyDescent="0.2">
      <c r="A233" s="2">
        <v>32416</v>
      </c>
      <c r="B233" s="3">
        <v>748.52</v>
      </c>
    </row>
    <row r="234" spans="1:2" x14ac:dyDescent="0.2">
      <c r="A234" s="2">
        <v>32447</v>
      </c>
      <c r="B234" s="3">
        <v>798.13199999999995</v>
      </c>
    </row>
    <row r="235" spans="1:2" x14ac:dyDescent="0.2">
      <c r="A235" s="2">
        <v>32477</v>
      </c>
      <c r="B235" s="3">
        <v>825.70600000000002</v>
      </c>
    </row>
    <row r="236" spans="1:2" x14ac:dyDescent="0.2">
      <c r="A236" s="2">
        <v>32507</v>
      </c>
      <c r="B236" s="3">
        <v>832.95600000000002</v>
      </c>
    </row>
    <row r="237" spans="1:2" x14ac:dyDescent="0.2">
      <c r="A237" s="2">
        <v>32539</v>
      </c>
      <c r="B237" s="3">
        <v>862.88</v>
      </c>
    </row>
    <row r="238" spans="1:2" x14ac:dyDescent="0.2">
      <c r="A238" s="2">
        <v>32567</v>
      </c>
      <c r="B238" s="3">
        <v>857.23599999999999</v>
      </c>
    </row>
    <row r="239" spans="1:2" x14ac:dyDescent="0.2">
      <c r="A239" s="2">
        <v>32598</v>
      </c>
      <c r="B239" s="3">
        <v>851.51700000000005</v>
      </c>
    </row>
    <row r="240" spans="1:2" x14ac:dyDescent="0.2">
      <c r="A240" s="2">
        <v>32626</v>
      </c>
      <c r="B240" s="3">
        <v>870.94200000000001</v>
      </c>
    </row>
    <row r="241" spans="1:2" x14ac:dyDescent="0.2">
      <c r="A241" s="2">
        <v>32659</v>
      </c>
      <c r="B241" s="3">
        <v>849.36500000000001</v>
      </c>
    </row>
    <row r="242" spans="1:2" x14ac:dyDescent="0.2">
      <c r="A242" s="2">
        <v>32689</v>
      </c>
      <c r="B242" s="3">
        <v>839.55499999999995</v>
      </c>
    </row>
    <row r="243" spans="1:2" x14ac:dyDescent="0.2">
      <c r="A243" s="2">
        <v>32720</v>
      </c>
      <c r="B243" s="3">
        <v>934.19399999999996</v>
      </c>
    </row>
    <row r="244" spans="1:2" x14ac:dyDescent="0.2">
      <c r="A244" s="2">
        <v>32751</v>
      </c>
      <c r="B244" s="3">
        <v>911.35699999999997</v>
      </c>
    </row>
    <row r="245" spans="1:2" x14ac:dyDescent="0.2">
      <c r="A245" s="2">
        <v>32780</v>
      </c>
      <c r="B245" s="3">
        <v>936.85599999999999</v>
      </c>
    </row>
    <row r="246" spans="1:2" x14ac:dyDescent="0.2">
      <c r="A246" s="2">
        <v>32812</v>
      </c>
      <c r="B246" s="3">
        <v>905.37699999999995</v>
      </c>
    </row>
    <row r="247" spans="1:2" x14ac:dyDescent="0.2">
      <c r="A247" s="2">
        <v>32842</v>
      </c>
      <c r="B247" s="3">
        <v>941.28200000000004</v>
      </c>
    </row>
    <row r="248" spans="1:2" x14ac:dyDescent="0.2">
      <c r="A248" s="2">
        <v>32871</v>
      </c>
      <c r="B248" s="3">
        <v>971.29700000000003</v>
      </c>
    </row>
    <row r="249" spans="1:2" x14ac:dyDescent="0.2">
      <c r="A249" s="2">
        <v>32904</v>
      </c>
      <c r="B249" s="3">
        <v>925.69500000000005</v>
      </c>
    </row>
    <row r="250" spans="1:2" x14ac:dyDescent="0.2">
      <c r="A250" s="2">
        <v>32932</v>
      </c>
      <c r="B250" s="3">
        <v>885.75099999999998</v>
      </c>
    </row>
    <row r="251" spans="1:2" x14ac:dyDescent="0.2">
      <c r="A251" s="2">
        <v>32962</v>
      </c>
      <c r="B251" s="3">
        <v>832.00599999999997</v>
      </c>
    </row>
    <row r="252" spans="1:2" x14ac:dyDescent="0.2">
      <c r="A252" s="2">
        <v>32993</v>
      </c>
      <c r="B252" s="3">
        <v>819.75400000000002</v>
      </c>
    </row>
    <row r="253" spans="1:2" x14ac:dyDescent="0.2">
      <c r="A253" s="2">
        <v>33024</v>
      </c>
      <c r="B253" s="3">
        <v>905.81600000000003</v>
      </c>
    </row>
    <row r="254" spans="1:2" x14ac:dyDescent="0.2">
      <c r="A254" s="2">
        <v>33053</v>
      </c>
      <c r="B254" s="3">
        <v>899.096</v>
      </c>
    </row>
    <row r="255" spans="1:2" x14ac:dyDescent="0.2">
      <c r="A255" s="2">
        <v>33085</v>
      </c>
      <c r="B255" s="3">
        <v>907.01800000000003</v>
      </c>
    </row>
    <row r="256" spans="1:2" x14ac:dyDescent="0.2">
      <c r="A256" s="2">
        <v>33116</v>
      </c>
      <c r="B256" s="3">
        <v>821.84400000000005</v>
      </c>
    </row>
    <row r="257" spans="1:2" x14ac:dyDescent="0.2">
      <c r="A257" s="2">
        <v>33144</v>
      </c>
      <c r="B257" s="3">
        <v>734.90499999999997</v>
      </c>
    </row>
    <row r="258" spans="1:2" x14ac:dyDescent="0.2">
      <c r="A258" s="2">
        <v>33177</v>
      </c>
      <c r="B258" s="3">
        <v>803.22699999999998</v>
      </c>
    </row>
    <row r="259" spans="1:2" x14ac:dyDescent="0.2">
      <c r="A259" s="2">
        <v>33207</v>
      </c>
      <c r="B259" s="3">
        <v>789.75199999999995</v>
      </c>
    </row>
    <row r="260" spans="1:2" x14ac:dyDescent="0.2">
      <c r="A260" s="2">
        <v>33238</v>
      </c>
      <c r="B260" s="3">
        <v>806.00400000000002</v>
      </c>
    </row>
    <row r="261" spans="1:2" x14ac:dyDescent="0.2">
      <c r="A261" s="2">
        <v>33269</v>
      </c>
      <c r="B261" s="3">
        <v>835.19500000000005</v>
      </c>
    </row>
    <row r="262" spans="1:2" x14ac:dyDescent="0.2">
      <c r="A262" s="2">
        <v>33297</v>
      </c>
      <c r="B262" s="3">
        <v>912.22400000000005</v>
      </c>
    </row>
    <row r="263" spans="1:2" x14ac:dyDescent="0.2">
      <c r="A263" s="2">
        <v>33326</v>
      </c>
      <c r="B263" s="3">
        <v>885.05899999999997</v>
      </c>
    </row>
    <row r="264" spans="1:2" x14ac:dyDescent="0.2">
      <c r="A264" s="2">
        <v>33358</v>
      </c>
      <c r="B264" s="3">
        <v>891.70399999999995</v>
      </c>
    </row>
    <row r="265" spans="1:2" x14ac:dyDescent="0.2">
      <c r="A265" s="2">
        <v>33389</v>
      </c>
      <c r="B265" s="3">
        <v>911.63499999999999</v>
      </c>
    </row>
    <row r="266" spans="1:2" x14ac:dyDescent="0.2">
      <c r="A266" s="2">
        <v>33417</v>
      </c>
      <c r="B266" s="3">
        <v>855.08100000000002</v>
      </c>
    </row>
    <row r="267" spans="1:2" x14ac:dyDescent="0.2">
      <c r="A267" s="2">
        <v>33450</v>
      </c>
      <c r="B267" s="3">
        <v>895.18899999999996</v>
      </c>
    </row>
    <row r="268" spans="1:2" x14ac:dyDescent="0.2">
      <c r="A268" s="2">
        <v>33480</v>
      </c>
      <c r="B268" s="3">
        <v>892.06799999999998</v>
      </c>
    </row>
    <row r="269" spans="1:2" x14ac:dyDescent="0.2">
      <c r="A269" s="2">
        <v>33511</v>
      </c>
      <c r="B269" s="3">
        <v>915.18499999999995</v>
      </c>
    </row>
    <row r="270" spans="1:2" x14ac:dyDescent="0.2">
      <c r="A270" s="2">
        <v>33542</v>
      </c>
      <c r="B270" s="3">
        <v>929.74699999999996</v>
      </c>
    </row>
    <row r="271" spans="1:2" x14ac:dyDescent="0.2">
      <c r="A271" s="2">
        <v>33571</v>
      </c>
      <c r="B271" s="3">
        <v>888.95</v>
      </c>
    </row>
    <row r="272" spans="1:2" x14ac:dyDescent="0.2">
      <c r="A272" s="2">
        <v>33603</v>
      </c>
      <c r="B272" s="3">
        <v>953.37599999999998</v>
      </c>
    </row>
    <row r="273" spans="1:2" x14ac:dyDescent="0.2">
      <c r="A273" s="2">
        <v>33634</v>
      </c>
      <c r="B273" s="3">
        <v>935.44500000000005</v>
      </c>
    </row>
    <row r="274" spans="1:2" x14ac:dyDescent="0.2">
      <c r="A274" s="2">
        <v>33662</v>
      </c>
      <c r="B274" s="3">
        <v>919.024</v>
      </c>
    </row>
    <row r="275" spans="1:2" x14ac:dyDescent="0.2">
      <c r="A275" s="2">
        <v>33694</v>
      </c>
      <c r="B275" s="3">
        <v>875.45</v>
      </c>
    </row>
    <row r="276" spans="1:2" x14ac:dyDescent="0.2">
      <c r="A276" s="2">
        <v>33724</v>
      </c>
      <c r="B276" s="3">
        <v>887.36800000000005</v>
      </c>
    </row>
    <row r="277" spans="1:2" x14ac:dyDescent="0.2">
      <c r="A277" s="2">
        <v>33753</v>
      </c>
      <c r="B277" s="3">
        <v>922.38199999999995</v>
      </c>
    </row>
    <row r="278" spans="1:2" x14ac:dyDescent="0.2">
      <c r="A278" s="2">
        <v>33785</v>
      </c>
      <c r="B278" s="3">
        <v>891.197</v>
      </c>
    </row>
    <row r="279" spans="1:2" x14ac:dyDescent="0.2">
      <c r="A279" s="2">
        <v>33816</v>
      </c>
      <c r="B279" s="3">
        <v>893.18100000000004</v>
      </c>
    </row>
    <row r="280" spans="1:2" x14ac:dyDescent="0.2">
      <c r="A280" s="2">
        <v>33847</v>
      </c>
      <c r="B280" s="3">
        <v>914.60699999999997</v>
      </c>
    </row>
    <row r="281" spans="1:2" x14ac:dyDescent="0.2">
      <c r="A281" s="2">
        <v>33877</v>
      </c>
      <c r="B281" s="3">
        <v>905.92899999999997</v>
      </c>
    </row>
    <row r="282" spans="1:2" x14ac:dyDescent="0.2">
      <c r="A282" s="2">
        <v>33907</v>
      </c>
      <c r="B282" s="3">
        <v>881.1</v>
      </c>
    </row>
    <row r="283" spans="1:2" x14ac:dyDescent="0.2">
      <c r="A283" s="2">
        <v>33938</v>
      </c>
      <c r="B283" s="3">
        <v>896.58600000000001</v>
      </c>
    </row>
    <row r="284" spans="1:2" x14ac:dyDescent="0.2">
      <c r="A284" s="2">
        <v>33969</v>
      </c>
      <c r="B284" s="3">
        <v>903.55</v>
      </c>
    </row>
    <row r="285" spans="1:2" x14ac:dyDescent="0.2">
      <c r="A285" s="2">
        <v>33998</v>
      </c>
      <c r="B285" s="3">
        <v>906.30100000000004</v>
      </c>
    </row>
    <row r="286" spans="1:2" x14ac:dyDescent="0.2">
      <c r="A286" s="2">
        <v>34026</v>
      </c>
      <c r="B286" s="3">
        <v>927.49900000000002</v>
      </c>
    </row>
    <row r="287" spans="1:2" x14ac:dyDescent="0.2">
      <c r="A287" s="2">
        <v>34059</v>
      </c>
      <c r="B287" s="3">
        <v>981</v>
      </c>
    </row>
    <row r="288" spans="1:2" x14ac:dyDescent="0.2">
      <c r="A288" s="2">
        <v>34089</v>
      </c>
      <c r="B288" s="3">
        <v>1026.1949999999999</v>
      </c>
    </row>
    <row r="289" spans="1:2" x14ac:dyDescent="0.2">
      <c r="A289" s="2">
        <v>34120</v>
      </c>
      <c r="B289" s="3">
        <v>1049.5730000000001</v>
      </c>
    </row>
    <row r="290" spans="1:2" x14ac:dyDescent="0.2">
      <c r="A290" s="2">
        <v>34150</v>
      </c>
      <c r="B290" s="3">
        <v>1040.498</v>
      </c>
    </row>
    <row r="291" spans="1:2" x14ac:dyDescent="0.2">
      <c r="A291" s="2">
        <v>34180</v>
      </c>
      <c r="B291" s="3">
        <v>1061.664</v>
      </c>
    </row>
    <row r="292" spans="1:2" x14ac:dyDescent="0.2">
      <c r="A292" s="2">
        <v>34212</v>
      </c>
      <c r="B292" s="3">
        <v>1110.067</v>
      </c>
    </row>
    <row r="293" spans="1:2" x14ac:dyDescent="0.2">
      <c r="A293" s="2">
        <v>34242</v>
      </c>
      <c r="B293" s="3">
        <v>1089.2919999999999</v>
      </c>
    </row>
    <row r="294" spans="1:2" x14ac:dyDescent="0.2">
      <c r="A294" s="2">
        <v>34271</v>
      </c>
      <c r="B294" s="3">
        <v>1119.047</v>
      </c>
    </row>
    <row r="295" spans="1:2" x14ac:dyDescent="0.2">
      <c r="A295" s="2">
        <v>34303</v>
      </c>
      <c r="B295" s="3">
        <v>1055.482</v>
      </c>
    </row>
    <row r="296" spans="1:2" x14ac:dyDescent="0.2">
      <c r="A296" s="2">
        <v>34334</v>
      </c>
      <c r="B296" s="3">
        <v>1106.8710000000001</v>
      </c>
    </row>
    <row r="297" spans="1:2" x14ac:dyDescent="0.2">
      <c r="A297" s="2">
        <v>34365</v>
      </c>
      <c r="B297" s="3">
        <v>1179.617</v>
      </c>
    </row>
    <row r="298" spans="1:2" x14ac:dyDescent="0.2">
      <c r="A298" s="2">
        <v>34393</v>
      </c>
      <c r="B298" s="3">
        <v>1164.0909999999999</v>
      </c>
    </row>
    <row r="299" spans="1:2" x14ac:dyDescent="0.2">
      <c r="A299" s="2">
        <v>34424</v>
      </c>
      <c r="B299" s="3">
        <v>1113.644</v>
      </c>
    </row>
    <row r="300" spans="1:2" x14ac:dyDescent="0.2">
      <c r="A300" s="2">
        <v>34453</v>
      </c>
      <c r="B300" s="3">
        <v>1147.809</v>
      </c>
    </row>
    <row r="301" spans="1:2" x14ac:dyDescent="0.2">
      <c r="A301" s="2">
        <v>34485</v>
      </c>
      <c r="B301" s="3">
        <v>1150.502</v>
      </c>
    </row>
    <row r="302" spans="1:2" x14ac:dyDescent="0.2">
      <c r="A302" s="2">
        <v>34515</v>
      </c>
      <c r="B302" s="3">
        <v>1147.0440000000001</v>
      </c>
    </row>
    <row r="303" spans="1:2" x14ac:dyDescent="0.2">
      <c r="A303" s="2">
        <v>34544</v>
      </c>
      <c r="B303" s="3">
        <v>1168.588</v>
      </c>
    </row>
    <row r="304" spans="1:2" x14ac:dyDescent="0.2">
      <c r="A304" s="2">
        <v>34577</v>
      </c>
      <c r="B304" s="3">
        <v>1203.5139999999999</v>
      </c>
    </row>
    <row r="305" spans="1:2" x14ac:dyDescent="0.2">
      <c r="A305" s="2">
        <v>34607</v>
      </c>
      <c r="B305" s="3">
        <v>1171.626</v>
      </c>
    </row>
    <row r="306" spans="1:2" x14ac:dyDescent="0.2">
      <c r="A306" s="2">
        <v>34638</v>
      </c>
      <c r="B306" s="3">
        <v>1204.684</v>
      </c>
    </row>
    <row r="307" spans="1:2" x14ac:dyDescent="0.2">
      <c r="A307" s="2">
        <v>34668</v>
      </c>
      <c r="B307" s="3">
        <v>1152.1690000000001</v>
      </c>
    </row>
    <row r="308" spans="1:2" x14ac:dyDescent="0.2">
      <c r="A308" s="2">
        <v>34698</v>
      </c>
      <c r="B308" s="3">
        <v>1163.056</v>
      </c>
    </row>
    <row r="309" spans="1:2" x14ac:dyDescent="0.2">
      <c r="A309" s="2">
        <v>34730</v>
      </c>
      <c r="B309" s="3">
        <v>1145.319</v>
      </c>
    </row>
    <row r="310" spans="1:2" x14ac:dyDescent="0.2">
      <c r="A310" s="2">
        <v>34758</v>
      </c>
      <c r="B310" s="3">
        <v>1161.7380000000001</v>
      </c>
    </row>
    <row r="311" spans="1:2" x14ac:dyDescent="0.2">
      <c r="A311" s="2">
        <v>34789</v>
      </c>
      <c r="B311" s="3">
        <v>1217.451</v>
      </c>
    </row>
    <row r="312" spans="1:2" x14ac:dyDescent="0.2">
      <c r="A312" s="2">
        <v>34817</v>
      </c>
      <c r="B312" s="3">
        <v>1259.598</v>
      </c>
    </row>
    <row r="313" spans="1:2" x14ac:dyDescent="0.2">
      <c r="A313" s="2">
        <v>34850</v>
      </c>
      <c r="B313" s="3">
        <v>1270.088</v>
      </c>
    </row>
    <row r="314" spans="1:2" x14ac:dyDescent="0.2">
      <c r="A314" s="2">
        <v>34880</v>
      </c>
      <c r="B314" s="3">
        <v>1269.412</v>
      </c>
    </row>
    <row r="315" spans="1:2" x14ac:dyDescent="0.2">
      <c r="A315" s="2">
        <v>34911</v>
      </c>
      <c r="B315" s="3">
        <v>1332.64</v>
      </c>
    </row>
    <row r="316" spans="1:2" x14ac:dyDescent="0.2">
      <c r="A316" s="2">
        <v>34942</v>
      </c>
      <c r="B316" s="3">
        <v>1302.664</v>
      </c>
    </row>
    <row r="317" spans="1:2" x14ac:dyDescent="0.2">
      <c r="A317" s="2">
        <v>34971</v>
      </c>
      <c r="B317" s="3">
        <v>1340.3240000000001</v>
      </c>
    </row>
    <row r="318" spans="1:2" x14ac:dyDescent="0.2">
      <c r="A318" s="2">
        <v>35003</v>
      </c>
      <c r="B318" s="3">
        <v>1318.933</v>
      </c>
    </row>
    <row r="319" spans="1:2" x14ac:dyDescent="0.2">
      <c r="A319" s="2">
        <v>35033</v>
      </c>
      <c r="B319" s="3">
        <v>1364.441</v>
      </c>
    </row>
    <row r="320" spans="1:2" x14ac:dyDescent="0.2">
      <c r="A320" s="2">
        <v>35062</v>
      </c>
      <c r="B320" s="3">
        <v>1404.0450000000001</v>
      </c>
    </row>
    <row r="321" spans="1:2" x14ac:dyDescent="0.2">
      <c r="A321" s="2">
        <v>35095</v>
      </c>
      <c r="B321" s="3">
        <v>1429.154</v>
      </c>
    </row>
    <row r="322" spans="1:2" x14ac:dyDescent="0.2">
      <c r="A322" s="2">
        <v>35124</v>
      </c>
      <c r="B322" s="3">
        <v>1437.5640000000001</v>
      </c>
    </row>
    <row r="323" spans="1:2" x14ac:dyDescent="0.2">
      <c r="A323" s="2">
        <v>35153</v>
      </c>
      <c r="B323" s="3">
        <v>1461.1880000000001</v>
      </c>
    </row>
    <row r="324" spans="1:2" x14ac:dyDescent="0.2">
      <c r="A324" s="2">
        <v>35185</v>
      </c>
      <c r="B324" s="3">
        <v>1495.2470000000001</v>
      </c>
    </row>
    <row r="325" spans="1:2" x14ac:dyDescent="0.2">
      <c r="A325" s="2">
        <v>35216</v>
      </c>
      <c r="B325" s="3">
        <v>1496.24</v>
      </c>
    </row>
    <row r="326" spans="1:2" x14ac:dyDescent="0.2">
      <c r="A326" s="2">
        <v>35244</v>
      </c>
      <c r="B326" s="3">
        <v>1503.5060000000001</v>
      </c>
    </row>
    <row r="327" spans="1:2" x14ac:dyDescent="0.2">
      <c r="A327" s="2">
        <v>35277</v>
      </c>
      <c r="B327" s="3">
        <v>1450.069</v>
      </c>
    </row>
    <row r="328" spans="1:2" x14ac:dyDescent="0.2">
      <c r="A328" s="2">
        <v>35307</v>
      </c>
      <c r="B328" s="3">
        <v>1466.4349999999999</v>
      </c>
    </row>
    <row r="329" spans="1:2" x14ac:dyDescent="0.2">
      <c r="A329" s="2">
        <v>35338</v>
      </c>
      <c r="B329" s="3">
        <v>1523.547</v>
      </c>
    </row>
    <row r="330" spans="1:2" x14ac:dyDescent="0.2">
      <c r="A330" s="2">
        <v>35369</v>
      </c>
      <c r="B330" s="3">
        <v>1533.8810000000001</v>
      </c>
    </row>
    <row r="331" spans="1:2" x14ac:dyDescent="0.2">
      <c r="A331" s="2">
        <v>35398</v>
      </c>
      <c r="B331" s="3">
        <v>1619.5350000000001</v>
      </c>
    </row>
    <row r="332" spans="1:2" x14ac:dyDescent="0.2">
      <c r="A332" s="2">
        <v>35430</v>
      </c>
      <c r="B332" s="3">
        <v>1593.2940000000001</v>
      </c>
    </row>
    <row r="333" spans="1:2" x14ac:dyDescent="0.2">
      <c r="A333" s="2">
        <v>35461</v>
      </c>
      <c r="B333" s="3">
        <v>1612.1969999999999</v>
      </c>
    </row>
    <row r="334" spans="1:2" x14ac:dyDescent="0.2">
      <c r="A334" s="2">
        <v>35489</v>
      </c>
      <c r="B334" s="3">
        <v>1630.4380000000001</v>
      </c>
    </row>
    <row r="335" spans="1:2" x14ac:dyDescent="0.2">
      <c r="A335" s="2">
        <v>35520</v>
      </c>
      <c r="B335" s="3">
        <v>1597.883</v>
      </c>
    </row>
    <row r="336" spans="1:2" x14ac:dyDescent="0.2">
      <c r="A336" s="2">
        <v>35550</v>
      </c>
      <c r="B336" s="3">
        <v>1649.809</v>
      </c>
    </row>
    <row r="337" spans="1:2" x14ac:dyDescent="0.2">
      <c r="A337" s="2">
        <v>35580</v>
      </c>
      <c r="B337" s="3">
        <v>1751.34</v>
      </c>
    </row>
    <row r="338" spans="1:2" x14ac:dyDescent="0.2">
      <c r="A338" s="2">
        <v>35611</v>
      </c>
      <c r="B338" s="3">
        <v>1838.3879999999999</v>
      </c>
    </row>
    <row r="339" spans="1:2" x14ac:dyDescent="0.2">
      <c r="A339" s="2">
        <v>35642</v>
      </c>
      <c r="B339" s="3">
        <v>1922.758</v>
      </c>
    </row>
    <row r="340" spans="1:2" x14ac:dyDescent="0.2">
      <c r="A340" s="2">
        <v>35671</v>
      </c>
      <c r="B340" s="3">
        <v>1793.8320000000001</v>
      </c>
    </row>
    <row r="341" spans="1:2" x14ac:dyDescent="0.2">
      <c r="A341" s="2">
        <v>35703</v>
      </c>
      <c r="B341" s="3">
        <v>1890.9829999999999</v>
      </c>
    </row>
    <row r="342" spans="1:2" x14ac:dyDescent="0.2">
      <c r="A342" s="2">
        <v>35734</v>
      </c>
      <c r="B342" s="3">
        <v>1791.153</v>
      </c>
    </row>
    <row r="343" spans="1:2" x14ac:dyDescent="0.2">
      <c r="A343" s="2">
        <v>35762</v>
      </c>
      <c r="B343" s="3">
        <v>1822.5440000000001</v>
      </c>
    </row>
    <row r="344" spans="1:2" x14ac:dyDescent="0.2">
      <c r="A344" s="2">
        <v>35795</v>
      </c>
      <c r="B344" s="3">
        <v>1844.451</v>
      </c>
    </row>
    <row r="345" spans="1:2" x14ac:dyDescent="0.2">
      <c r="A345" s="2">
        <v>35825</v>
      </c>
      <c r="B345" s="3">
        <v>1895.546</v>
      </c>
    </row>
    <row r="346" spans="1:2" x14ac:dyDescent="0.2">
      <c r="A346" s="2">
        <v>35853</v>
      </c>
      <c r="B346" s="3">
        <v>2023.462</v>
      </c>
    </row>
    <row r="347" spans="1:2" x14ac:dyDescent="0.2">
      <c r="A347" s="2">
        <v>35885</v>
      </c>
      <c r="B347" s="3">
        <v>2108.5949999999998</v>
      </c>
    </row>
    <row r="348" spans="1:2" x14ac:dyDescent="0.2">
      <c r="A348" s="2">
        <v>35915</v>
      </c>
      <c r="B348" s="3">
        <v>2128.884</v>
      </c>
    </row>
    <row r="349" spans="1:2" x14ac:dyDescent="0.2">
      <c r="A349" s="2">
        <v>35944</v>
      </c>
      <c r="B349" s="3">
        <v>2101.886</v>
      </c>
    </row>
    <row r="350" spans="1:2" x14ac:dyDescent="0.2">
      <c r="A350" s="2">
        <v>35976</v>
      </c>
      <c r="B350" s="3">
        <v>2151.4499999999998</v>
      </c>
    </row>
    <row r="351" spans="1:2" x14ac:dyDescent="0.2">
      <c r="A351" s="2">
        <v>36007</v>
      </c>
      <c r="B351" s="3">
        <v>2147.6790000000001</v>
      </c>
    </row>
    <row r="352" spans="1:2" x14ac:dyDescent="0.2">
      <c r="A352" s="2">
        <v>36038</v>
      </c>
      <c r="B352" s="3">
        <v>1860.9580000000001</v>
      </c>
    </row>
    <row r="353" spans="1:2" x14ac:dyDescent="0.2">
      <c r="A353" s="2">
        <v>36068</v>
      </c>
      <c r="B353" s="3">
        <v>1893.5509999999999</v>
      </c>
    </row>
    <row r="354" spans="1:2" x14ac:dyDescent="0.2">
      <c r="A354" s="2">
        <v>36098</v>
      </c>
      <c r="B354" s="3">
        <v>2064.4029999999998</v>
      </c>
    </row>
    <row r="355" spans="1:2" x14ac:dyDescent="0.2">
      <c r="A355" s="2">
        <v>36129</v>
      </c>
      <c r="B355" s="3">
        <v>2186.848</v>
      </c>
    </row>
    <row r="356" spans="1:2" x14ac:dyDescent="0.2">
      <c r="A356" s="2">
        <v>36160</v>
      </c>
      <c r="B356" s="3">
        <v>2293.3539999999998</v>
      </c>
    </row>
    <row r="357" spans="1:2" x14ac:dyDescent="0.2">
      <c r="A357" s="2">
        <v>36189</v>
      </c>
      <c r="B357" s="3">
        <v>2343.2379999999998</v>
      </c>
    </row>
    <row r="358" spans="1:2" x14ac:dyDescent="0.2">
      <c r="A358" s="2">
        <v>36217</v>
      </c>
      <c r="B358" s="3">
        <v>2280.5720000000001</v>
      </c>
    </row>
    <row r="359" spans="1:2" x14ac:dyDescent="0.2">
      <c r="A359" s="2">
        <v>36250</v>
      </c>
      <c r="B359" s="3">
        <v>2375.1930000000002</v>
      </c>
    </row>
    <row r="360" spans="1:2" x14ac:dyDescent="0.2">
      <c r="A360" s="2">
        <v>36280</v>
      </c>
      <c r="B360" s="3">
        <v>2468.4929999999999</v>
      </c>
    </row>
    <row r="361" spans="1:2" x14ac:dyDescent="0.2">
      <c r="A361" s="2">
        <v>36311</v>
      </c>
      <c r="B361" s="3">
        <v>2377.9589999999998</v>
      </c>
    </row>
    <row r="362" spans="1:2" x14ac:dyDescent="0.2">
      <c r="A362" s="2">
        <v>36341</v>
      </c>
      <c r="B362" s="3">
        <v>2488.5369999999998</v>
      </c>
    </row>
    <row r="363" spans="1:2" x14ac:dyDescent="0.2">
      <c r="A363" s="2">
        <v>36371</v>
      </c>
      <c r="B363" s="3">
        <v>2480.7359999999999</v>
      </c>
    </row>
    <row r="364" spans="1:2" x14ac:dyDescent="0.2">
      <c r="A364" s="2">
        <v>36403</v>
      </c>
      <c r="B364" s="3">
        <v>2475.989</v>
      </c>
    </row>
    <row r="365" spans="1:2" x14ac:dyDescent="0.2">
      <c r="A365" s="2">
        <v>36433</v>
      </c>
      <c r="B365" s="3">
        <v>2451.6439999999998</v>
      </c>
    </row>
    <row r="366" spans="1:2" x14ac:dyDescent="0.2">
      <c r="A366" s="2">
        <v>36462</v>
      </c>
      <c r="B366" s="3">
        <v>2578.7440000000001</v>
      </c>
    </row>
    <row r="367" spans="1:2" x14ac:dyDescent="0.2">
      <c r="A367" s="2">
        <v>36494</v>
      </c>
      <c r="B367" s="3">
        <v>2650.9560000000001</v>
      </c>
    </row>
    <row r="368" spans="1:2" x14ac:dyDescent="0.2">
      <c r="A368" s="2">
        <v>36525</v>
      </c>
      <c r="B368" s="3">
        <v>2865.1990000000001</v>
      </c>
    </row>
    <row r="369" spans="1:2" x14ac:dyDescent="0.2">
      <c r="A369" s="2">
        <v>36556</v>
      </c>
      <c r="B369" s="3">
        <v>2700.79</v>
      </c>
    </row>
    <row r="370" spans="1:2" x14ac:dyDescent="0.2">
      <c r="A370" s="2">
        <v>36585</v>
      </c>
      <c r="B370" s="3">
        <v>2707.75</v>
      </c>
    </row>
    <row r="371" spans="1:2" x14ac:dyDescent="0.2">
      <c r="A371" s="2">
        <v>36616</v>
      </c>
      <c r="B371" s="3">
        <v>2894.57</v>
      </c>
    </row>
    <row r="372" spans="1:2" x14ac:dyDescent="0.2">
      <c r="A372" s="2">
        <v>36644</v>
      </c>
      <c r="B372" s="3">
        <v>2771.8490000000002</v>
      </c>
    </row>
    <row r="373" spans="1:2" x14ac:dyDescent="0.2">
      <c r="A373" s="2">
        <v>36677</v>
      </c>
      <c r="B373" s="3">
        <v>2701.3440000000001</v>
      </c>
    </row>
    <row r="374" spans="1:2" x14ac:dyDescent="0.2">
      <c r="A374" s="2">
        <v>36707</v>
      </c>
      <c r="B374" s="3">
        <v>2791.9690000000001</v>
      </c>
    </row>
    <row r="375" spans="1:2" x14ac:dyDescent="0.2">
      <c r="A375" s="2">
        <v>36738</v>
      </c>
      <c r="B375" s="3">
        <v>2713.038</v>
      </c>
    </row>
    <row r="376" spans="1:2" x14ac:dyDescent="0.2">
      <c r="A376" s="2">
        <v>36769</v>
      </c>
      <c r="B376" s="3">
        <v>2800.953</v>
      </c>
    </row>
    <row r="377" spans="1:2" x14ac:dyDescent="0.2">
      <c r="A377" s="2">
        <v>36798</v>
      </c>
      <c r="B377" s="3">
        <v>2651.69</v>
      </c>
    </row>
    <row r="378" spans="1:2" x14ac:dyDescent="0.2">
      <c r="A378" s="2">
        <v>36830</v>
      </c>
      <c r="B378" s="3">
        <v>2606.9360000000001</v>
      </c>
    </row>
    <row r="379" spans="1:2" x14ac:dyDescent="0.2">
      <c r="A379" s="2">
        <v>36860</v>
      </c>
      <c r="B379" s="3">
        <v>2448.3339999999998</v>
      </c>
    </row>
    <row r="380" spans="1:2" x14ac:dyDescent="0.2">
      <c r="A380" s="2">
        <v>36889</v>
      </c>
      <c r="B380" s="3">
        <v>2487.6129999999998</v>
      </c>
    </row>
    <row r="381" spans="1:2" x14ac:dyDescent="0.2">
      <c r="A381" s="2">
        <v>36922</v>
      </c>
      <c r="B381" s="3">
        <v>2535.5160000000001</v>
      </c>
    </row>
    <row r="382" spans="1:2" x14ac:dyDescent="0.2">
      <c r="A382" s="2">
        <v>36950</v>
      </c>
      <c r="B382" s="3">
        <v>2320.9540000000002</v>
      </c>
    </row>
    <row r="383" spans="1:2" x14ac:dyDescent="0.2">
      <c r="A383" s="2">
        <v>36980</v>
      </c>
      <c r="B383" s="3">
        <v>2168.1170000000002</v>
      </c>
    </row>
    <row r="384" spans="1:2" x14ac:dyDescent="0.2">
      <c r="A384" s="2">
        <v>37011</v>
      </c>
      <c r="B384" s="3">
        <v>2327.9380000000001</v>
      </c>
    </row>
    <row r="385" spans="1:2" x14ac:dyDescent="0.2">
      <c r="A385" s="2">
        <v>37042</v>
      </c>
      <c r="B385" s="3">
        <v>2297.6030000000001</v>
      </c>
    </row>
    <row r="386" spans="1:2" x14ac:dyDescent="0.2">
      <c r="A386" s="2">
        <v>37071</v>
      </c>
      <c r="B386" s="3">
        <v>2225.2930000000001</v>
      </c>
    </row>
    <row r="387" spans="1:2" x14ac:dyDescent="0.2">
      <c r="A387" s="2">
        <v>37103</v>
      </c>
      <c r="B387" s="3">
        <v>2195.549</v>
      </c>
    </row>
    <row r="388" spans="1:2" x14ac:dyDescent="0.2">
      <c r="A388" s="2">
        <v>37134</v>
      </c>
      <c r="B388" s="3">
        <v>2089.8409999999999</v>
      </c>
    </row>
    <row r="389" spans="1:2" x14ac:dyDescent="0.2">
      <c r="A389" s="2">
        <v>37162</v>
      </c>
      <c r="B389" s="3">
        <v>1905.414</v>
      </c>
    </row>
    <row r="390" spans="1:2" x14ac:dyDescent="0.2">
      <c r="A390" s="2">
        <v>37195</v>
      </c>
      <c r="B390" s="3">
        <v>1941.798</v>
      </c>
    </row>
    <row r="391" spans="1:2" x14ac:dyDescent="0.2">
      <c r="A391" s="2">
        <v>37225</v>
      </c>
      <c r="B391" s="3">
        <v>2056.38</v>
      </c>
    </row>
    <row r="392" spans="1:2" x14ac:dyDescent="0.2">
      <c r="A392" s="2">
        <v>37256</v>
      </c>
      <c r="B392" s="3">
        <v>2069.0990000000002</v>
      </c>
    </row>
    <row r="393" spans="1:2" x14ac:dyDescent="0.2">
      <c r="A393" s="2">
        <v>37287</v>
      </c>
      <c r="B393" s="3">
        <v>2006.204</v>
      </c>
    </row>
    <row r="394" spans="1:2" x14ac:dyDescent="0.2">
      <c r="A394" s="2">
        <v>37315</v>
      </c>
      <c r="B394" s="3">
        <v>1988.559</v>
      </c>
    </row>
    <row r="395" spans="1:2" x14ac:dyDescent="0.2">
      <c r="A395" s="2">
        <v>37344</v>
      </c>
      <c r="B395" s="3">
        <v>2076.1550000000002</v>
      </c>
    </row>
    <row r="396" spans="1:2" x14ac:dyDescent="0.2">
      <c r="A396" s="2">
        <v>37376</v>
      </c>
      <c r="B396" s="3">
        <v>2005.587</v>
      </c>
    </row>
    <row r="397" spans="1:2" x14ac:dyDescent="0.2">
      <c r="A397" s="2">
        <v>37407</v>
      </c>
      <c r="B397" s="3">
        <v>2008.931</v>
      </c>
    </row>
    <row r="398" spans="1:2" x14ac:dyDescent="0.2">
      <c r="A398" s="2">
        <v>37435</v>
      </c>
      <c r="B398" s="3">
        <v>1886.694</v>
      </c>
    </row>
    <row r="399" spans="1:2" x14ac:dyDescent="0.2">
      <c r="A399" s="2">
        <v>37468</v>
      </c>
      <c r="B399" s="3">
        <v>1727.499</v>
      </c>
    </row>
    <row r="400" spans="1:2" x14ac:dyDescent="0.2">
      <c r="A400" s="2">
        <v>37498</v>
      </c>
      <c r="B400" s="3">
        <v>1730.4490000000001</v>
      </c>
    </row>
    <row r="401" spans="1:2" x14ac:dyDescent="0.2">
      <c r="A401" s="2">
        <v>37529</v>
      </c>
      <c r="B401" s="3">
        <v>1539.9259999999999</v>
      </c>
    </row>
    <row r="402" spans="1:2" x14ac:dyDescent="0.2">
      <c r="A402" s="2">
        <v>37560</v>
      </c>
      <c r="B402" s="3">
        <v>1653.394</v>
      </c>
    </row>
    <row r="403" spans="1:2" x14ac:dyDescent="0.2">
      <c r="A403" s="2">
        <v>37589</v>
      </c>
      <c r="B403" s="3">
        <v>1742.287</v>
      </c>
    </row>
    <row r="404" spans="1:2" x14ac:dyDescent="0.2">
      <c r="A404" s="2">
        <v>37621</v>
      </c>
      <c r="B404" s="3">
        <v>1657.636</v>
      </c>
    </row>
    <row r="405" spans="1:2" x14ac:dyDescent="0.2">
      <c r="A405" s="2">
        <v>37652</v>
      </c>
      <c r="B405" s="3">
        <v>1607.1210000000001</v>
      </c>
    </row>
    <row r="406" spans="1:2" x14ac:dyDescent="0.2">
      <c r="A406" s="2">
        <v>37680</v>
      </c>
      <c r="B406" s="3">
        <v>1578.9939999999999</v>
      </c>
    </row>
    <row r="407" spans="1:2" x14ac:dyDescent="0.2">
      <c r="A407" s="2">
        <v>37711</v>
      </c>
      <c r="B407" s="3">
        <v>1573.7819999999999</v>
      </c>
    </row>
    <row r="408" spans="1:2" x14ac:dyDescent="0.2">
      <c r="A408" s="2">
        <v>37741</v>
      </c>
      <c r="B408" s="3">
        <v>1713.248</v>
      </c>
    </row>
    <row r="409" spans="1:2" x14ac:dyDescent="0.2">
      <c r="A409" s="2">
        <v>37771</v>
      </c>
      <c r="B409" s="3">
        <v>1810.79</v>
      </c>
    </row>
    <row r="410" spans="1:2" x14ac:dyDescent="0.2">
      <c r="A410" s="2">
        <v>37802</v>
      </c>
      <c r="B410" s="3">
        <v>1841.9010000000001</v>
      </c>
    </row>
    <row r="411" spans="1:2" x14ac:dyDescent="0.2">
      <c r="A411" s="2">
        <v>37833</v>
      </c>
      <c r="B411" s="3">
        <v>1879.0889999999999</v>
      </c>
    </row>
    <row r="412" spans="1:2" x14ac:dyDescent="0.2">
      <c r="A412" s="2">
        <v>37862</v>
      </c>
      <c r="B412" s="3">
        <v>1919.4559999999999</v>
      </c>
    </row>
    <row r="413" spans="1:2" x14ac:dyDescent="0.2">
      <c r="A413" s="2">
        <v>37894</v>
      </c>
      <c r="B413" s="3">
        <v>1931.008</v>
      </c>
    </row>
    <row r="414" spans="1:2" x14ac:dyDescent="0.2">
      <c r="A414" s="2">
        <v>37925</v>
      </c>
      <c r="B414" s="3">
        <v>2045.405</v>
      </c>
    </row>
    <row r="415" spans="1:2" x14ac:dyDescent="0.2">
      <c r="A415" s="2">
        <v>37953</v>
      </c>
      <c r="B415" s="3">
        <v>2076.3200000000002</v>
      </c>
    </row>
    <row r="416" spans="1:2" x14ac:dyDescent="0.2">
      <c r="A416" s="2">
        <v>37986</v>
      </c>
      <c r="B416" s="3">
        <v>2206.4229999999998</v>
      </c>
    </row>
    <row r="417" spans="1:2" x14ac:dyDescent="0.2">
      <c r="A417" s="2">
        <v>38016</v>
      </c>
      <c r="B417" s="3">
        <v>2241.8270000000002</v>
      </c>
    </row>
    <row r="418" spans="1:2" x14ac:dyDescent="0.2">
      <c r="A418" s="2">
        <v>38044</v>
      </c>
      <c r="B418" s="3">
        <v>2279.3670000000002</v>
      </c>
    </row>
    <row r="419" spans="1:2" x14ac:dyDescent="0.2">
      <c r="A419" s="2">
        <v>38077</v>
      </c>
      <c r="B419" s="3">
        <v>2264.2420000000002</v>
      </c>
    </row>
    <row r="420" spans="1:2" x14ac:dyDescent="0.2">
      <c r="A420" s="2">
        <v>38107</v>
      </c>
      <c r="B420" s="3">
        <v>2217.8670000000002</v>
      </c>
    </row>
    <row r="421" spans="1:2" x14ac:dyDescent="0.2">
      <c r="A421" s="2">
        <v>38138</v>
      </c>
      <c r="B421" s="3">
        <v>2238.0740000000001</v>
      </c>
    </row>
    <row r="422" spans="1:2" x14ac:dyDescent="0.2">
      <c r="A422" s="2">
        <v>38168</v>
      </c>
      <c r="B422" s="3">
        <v>2284.0189999999998</v>
      </c>
    </row>
    <row r="423" spans="1:2" x14ac:dyDescent="0.2">
      <c r="A423" s="2">
        <v>38198</v>
      </c>
      <c r="B423" s="3">
        <v>2209.4459999999999</v>
      </c>
    </row>
    <row r="424" spans="1:2" x14ac:dyDescent="0.2">
      <c r="A424" s="2">
        <v>38230</v>
      </c>
      <c r="B424" s="3">
        <v>2219.1570000000002</v>
      </c>
    </row>
    <row r="425" spans="1:2" x14ac:dyDescent="0.2">
      <c r="A425" s="2">
        <v>38260</v>
      </c>
      <c r="B425" s="3">
        <v>2261.1379999999999</v>
      </c>
    </row>
    <row r="426" spans="1:2" x14ac:dyDescent="0.2">
      <c r="A426" s="2">
        <v>38289</v>
      </c>
      <c r="B426" s="3">
        <v>2316.4690000000001</v>
      </c>
    </row>
    <row r="427" spans="1:2" x14ac:dyDescent="0.2">
      <c r="A427" s="2">
        <v>38321</v>
      </c>
      <c r="B427" s="3">
        <v>2438.1559999999999</v>
      </c>
    </row>
    <row r="428" spans="1:2" x14ac:dyDescent="0.2">
      <c r="A428" s="2">
        <v>38352</v>
      </c>
      <c r="B428" s="3">
        <v>2531.2280000000001</v>
      </c>
    </row>
    <row r="429" spans="1:2" x14ac:dyDescent="0.2">
      <c r="A429" s="2">
        <v>38383</v>
      </c>
      <c r="B429" s="3">
        <v>2474.239</v>
      </c>
    </row>
    <row r="430" spans="1:2" x14ac:dyDescent="0.2">
      <c r="A430" s="2">
        <v>38411</v>
      </c>
      <c r="B430" s="3">
        <v>2552.6179999999999</v>
      </c>
    </row>
    <row r="431" spans="1:2" x14ac:dyDescent="0.2">
      <c r="A431" s="2">
        <v>38442</v>
      </c>
      <c r="B431" s="3">
        <v>2503.0680000000002</v>
      </c>
    </row>
    <row r="432" spans="1:2" x14ac:dyDescent="0.2">
      <c r="A432" s="2">
        <v>38471</v>
      </c>
      <c r="B432" s="3">
        <v>2448.5279999999998</v>
      </c>
    </row>
    <row r="433" spans="1:2" x14ac:dyDescent="0.2">
      <c r="A433" s="2">
        <v>38503</v>
      </c>
      <c r="B433" s="3">
        <v>2492.0320000000002</v>
      </c>
    </row>
    <row r="434" spans="1:2" x14ac:dyDescent="0.2">
      <c r="A434" s="2">
        <v>38533</v>
      </c>
      <c r="B434" s="3">
        <v>2513.5949999999998</v>
      </c>
    </row>
    <row r="435" spans="1:2" x14ac:dyDescent="0.2">
      <c r="A435" s="2">
        <v>38562</v>
      </c>
      <c r="B435" s="3">
        <v>2601.3989999999999</v>
      </c>
    </row>
    <row r="436" spans="1:2" x14ac:dyDescent="0.2">
      <c r="A436" s="2">
        <v>38595</v>
      </c>
      <c r="B436" s="3">
        <v>2621.0010000000002</v>
      </c>
    </row>
    <row r="437" spans="1:2" x14ac:dyDescent="0.2">
      <c r="A437" s="2">
        <v>38625</v>
      </c>
      <c r="B437" s="3">
        <v>2689.078</v>
      </c>
    </row>
    <row r="438" spans="1:2" x14ac:dyDescent="0.2">
      <c r="A438" s="2">
        <v>38656</v>
      </c>
      <c r="B438" s="3">
        <v>2623.8380000000002</v>
      </c>
    </row>
    <row r="439" spans="1:2" x14ac:dyDescent="0.2">
      <c r="A439" s="2">
        <v>38686</v>
      </c>
      <c r="B439" s="3">
        <v>2711.2629999999999</v>
      </c>
    </row>
    <row r="440" spans="1:2" x14ac:dyDescent="0.2">
      <c r="A440" s="2">
        <v>38716</v>
      </c>
      <c r="B440" s="3">
        <v>2771.33</v>
      </c>
    </row>
    <row r="441" spans="1:2" x14ac:dyDescent="0.2">
      <c r="A441" s="2">
        <v>38748</v>
      </c>
      <c r="B441" s="3">
        <v>2895.0790000000002</v>
      </c>
    </row>
    <row r="442" spans="1:2" x14ac:dyDescent="0.2">
      <c r="A442" s="2">
        <v>38776</v>
      </c>
      <c r="B442" s="3">
        <v>2890.7689999999998</v>
      </c>
    </row>
    <row r="443" spans="1:2" x14ac:dyDescent="0.2">
      <c r="A443" s="2">
        <v>38807</v>
      </c>
      <c r="B443" s="3">
        <v>2954.3339999999998</v>
      </c>
    </row>
    <row r="444" spans="1:2" x14ac:dyDescent="0.2">
      <c r="A444" s="2">
        <v>38835</v>
      </c>
      <c r="B444" s="3">
        <v>3044.03</v>
      </c>
    </row>
    <row r="445" spans="1:2" x14ac:dyDescent="0.2">
      <c r="A445" s="2">
        <v>38868</v>
      </c>
      <c r="B445" s="3">
        <v>2940.049</v>
      </c>
    </row>
    <row r="446" spans="1:2" x14ac:dyDescent="0.2">
      <c r="A446" s="2">
        <v>38898</v>
      </c>
      <c r="B446" s="3">
        <v>2939.1869999999999</v>
      </c>
    </row>
    <row r="447" spans="1:2" x14ac:dyDescent="0.2">
      <c r="A447" s="2">
        <v>38929</v>
      </c>
      <c r="B447" s="3">
        <v>2957.53</v>
      </c>
    </row>
    <row r="448" spans="1:2" x14ac:dyDescent="0.2">
      <c r="A448" s="2">
        <v>38960</v>
      </c>
      <c r="B448" s="3">
        <v>3034.299</v>
      </c>
    </row>
    <row r="449" spans="1:2" x14ac:dyDescent="0.2">
      <c r="A449" s="2">
        <v>38989</v>
      </c>
      <c r="B449" s="3">
        <v>3070.4789999999998</v>
      </c>
    </row>
    <row r="450" spans="1:2" x14ac:dyDescent="0.2">
      <c r="A450" s="2">
        <v>39021</v>
      </c>
      <c r="B450" s="3">
        <v>3183.174</v>
      </c>
    </row>
    <row r="451" spans="1:2" x14ac:dyDescent="0.2">
      <c r="A451" s="2">
        <v>39051</v>
      </c>
      <c r="B451" s="3">
        <v>3261.1239999999998</v>
      </c>
    </row>
    <row r="452" spans="1:2" x14ac:dyDescent="0.2">
      <c r="A452" s="2">
        <v>39080</v>
      </c>
      <c r="B452" s="3">
        <v>3327.4259999999999</v>
      </c>
    </row>
    <row r="453" spans="1:2" x14ac:dyDescent="0.2">
      <c r="A453" s="2">
        <v>39113</v>
      </c>
      <c r="B453" s="3">
        <v>3366.7069999999999</v>
      </c>
    </row>
    <row r="454" spans="1:2" x14ac:dyDescent="0.2">
      <c r="A454" s="2">
        <v>39141</v>
      </c>
      <c r="B454" s="3">
        <v>3349.1880000000001</v>
      </c>
    </row>
    <row r="455" spans="1:2" x14ac:dyDescent="0.2">
      <c r="A455" s="2">
        <v>39171</v>
      </c>
      <c r="B455" s="3">
        <v>3410.4960000000001</v>
      </c>
    </row>
    <row r="456" spans="1:2" x14ac:dyDescent="0.2">
      <c r="A456" s="2">
        <v>39202</v>
      </c>
      <c r="B456" s="3">
        <v>3560.9050000000002</v>
      </c>
    </row>
    <row r="457" spans="1:2" x14ac:dyDescent="0.2">
      <c r="A457" s="2">
        <v>39233</v>
      </c>
      <c r="B457" s="3">
        <v>3660.68</v>
      </c>
    </row>
    <row r="458" spans="1:2" x14ac:dyDescent="0.2">
      <c r="A458" s="2">
        <v>39262</v>
      </c>
      <c r="B458" s="3">
        <v>3632.444</v>
      </c>
    </row>
    <row r="459" spans="1:2" x14ac:dyDescent="0.2">
      <c r="A459" s="2">
        <v>39294</v>
      </c>
      <c r="B459" s="3">
        <v>3551.998</v>
      </c>
    </row>
    <row r="460" spans="1:2" x14ac:dyDescent="0.2">
      <c r="A460" s="2">
        <v>39325</v>
      </c>
      <c r="B460" s="3">
        <v>3549.3040000000001</v>
      </c>
    </row>
    <row r="461" spans="1:2" x14ac:dyDescent="0.2">
      <c r="A461" s="2">
        <v>39353</v>
      </c>
      <c r="B461" s="3">
        <v>3718.0920000000001</v>
      </c>
    </row>
    <row r="462" spans="1:2" x14ac:dyDescent="0.2">
      <c r="A462" s="2">
        <v>39386</v>
      </c>
      <c r="B462" s="3">
        <v>3832.1320000000001</v>
      </c>
    </row>
    <row r="463" spans="1:2" x14ac:dyDescent="0.2">
      <c r="A463" s="2">
        <v>39416</v>
      </c>
      <c r="B463" s="3">
        <v>3675.491</v>
      </c>
    </row>
    <row r="464" spans="1:2" x14ac:dyDescent="0.2">
      <c r="A464" s="2">
        <v>39447</v>
      </c>
      <c r="B464" s="3">
        <v>3628.0720000000001</v>
      </c>
    </row>
    <row r="465" spans="1:2" x14ac:dyDescent="0.2">
      <c r="A465" s="2">
        <v>39478</v>
      </c>
      <c r="B465" s="3">
        <v>3350.817</v>
      </c>
    </row>
    <row r="466" spans="1:2" x14ac:dyDescent="0.2">
      <c r="A466" s="2">
        <v>39507</v>
      </c>
      <c r="B466" s="3">
        <v>3331.4229999999998</v>
      </c>
    </row>
    <row r="467" spans="1:2" x14ac:dyDescent="0.2">
      <c r="A467" s="2">
        <v>39538</v>
      </c>
      <c r="B467" s="3">
        <v>3299.491</v>
      </c>
    </row>
    <row r="468" spans="1:2" x14ac:dyDescent="0.2">
      <c r="A468" s="2">
        <v>39568</v>
      </c>
      <c r="B468" s="3">
        <v>3472.9050000000002</v>
      </c>
    </row>
    <row r="469" spans="1:2" x14ac:dyDescent="0.2">
      <c r="A469" s="2">
        <v>39598</v>
      </c>
      <c r="B469" s="3">
        <v>3525.8609999999999</v>
      </c>
    </row>
    <row r="470" spans="1:2" x14ac:dyDescent="0.2">
      <c r="A470" s="2">
        <v>39629</v>
      </c>
      <c r="B470" s="3">
        <v>3244.6489999999999</v>
      </c>
    </row>
    <row r="471" spans="1:2" x14ac:dyDescent="0.2">
      <c r="A471" s="2">
        <v>39660</v>
      </c>
      <c r="B471" s="3">
        <v>3165.3679999999999</v>
      </c>
    </row>
    <row r="472" spans="1:2" x14ac:dyDescent="0.2">
      <c r="A472" s="2">
        <v>39689</v>
      </c>
      <c r="B472" s="3">
        <v>3120.9050000000002</v>
      </c>
    </row>
    <row r="473" spans="1:2" x14ac:dyDescent="0.2">
      <c r="A473" s="2">
        <v>39721</v>
      </c>
      <c r="B473" s="3">
        <v>2749.7109999999998</v>
      </c>
    </row>
    <row r="474" spans="1:2" x14ac:dyDescent="0.2">
      <c r="A474" s="2">
        <v>39752</v>
      </c>
      <c r="B474" s="3">
        <v>2228.3629999999998</v>
      </c>
    </row>
    <row r="475" spans="1:2" x14ac:dyDescent="0.2">
      <c r="A475" s="2">
        <v>39780</v>
      </c>
      <c r="B475" s="3">
        <v>2084.1239999999998</v>
      </c>
    </row>
    <row r="476" spans="1:2" x14ac:dyDescent="0.2">
      <c r="A476" s="2">
        <v>39813</v>
      </c>
      <c r="B476" s="3">
        <v>2150.9899999999998</v>
      </c>
    </row>
    <row r="477" spans="1:2" x14ac:dyDescent="0.2">
      <c r="A477" s="2">
        <v>39843</v>
      </c>
      <c r="B477" s="3">
        <v>1962.5509999999999</v>
      </c>
    </row>
    <row r="478" spans="1:2" x14ac:dyDescent="0.2">
      <c r="A478" s="2">
        <v>39871</v>
      </c>
      <c r="B478" s="3">
        <v>1761.6659999999999</v>
      </c>
    </row>
    <row r="479" spans="1:2" x14ac:dyDescent="0.2">
      <c r="A479" s="2">
        <v>39903</v>
      </c>
      <c r="B479" s="3">
        <v>1894.511</v>
      </c>
    </row>
    <row r="480" spans="1:2" x14ac:dyDescent="0.2">
      <c r="A480" s="2">
        <v>39933</v>
      </c>
      <c r="B480" s="3">
        <v>2107.0360000000001</v>
      </c>
    </row>
    <row r="481" spans="1:2" x14ac:dyDescent="0.2">
      <c r="A481" s="2">
        <v>39962</v>
      </c>
      <c r="B481" s="3">
        <v>2297.9459999999999</v>
      </c>
    </row>
    <row r="482" spans="1:2" x14ac:dyDescent="0.2">
      <c r="A482" s="2">
        <v>39994</v>
      </c>
      <c r="B482" s="3">
        <v>2287.5790000000002</v>
      </c>
    </row>
    <row r="483" spans="1:2" x14ac:dyDescent="0.2">
      <c r="A483" s="2">
        <v>40025</v>
      </c>
      <c r="B483" s="3">
        <v>2481.33</v>
      </c>
    </row>
    <row r="484" spans="1:2" x14ac:dyDescent="0.2">
      <c r="A484" s="2">
        <v>40056</v>
      </c>
      <c r="B484" s="3">
        <v>2583.6970000000001</v>
      </c>
    </row>
    <row r="485" spans="1:2" x14ac:dyDescent="0.2">
      <c r="A485" s="2">
        <v>40086</v>
      </c>
      <c r="B485" s="3">
        <v>2686.6790000000001</v>
      </c>
    </row>
    <row r="486" spans="1:2" x14ac:dyDescent="0.2">
      <c r="A486" s="2">
        <v>40116</v>
      </c>
      <c r="B486" s="3">
        <v>2638.88</v>
      </c>
    </row>
    <row r="487" spans="1:2" x14ac:dyDescent="0.2">
      <c r="A487" s="2">
        <v>40147</v>
      </c>
      <c r="B487" s="3">
        <v>2746.712</v>
      </c>
    </row>
    <row r="488" spans="1:2" x14ac:dyDescent="0.2">
      <c r="A488" s="2">
        <v>40178</v>
      </c>
      <c r="B488" s="3">
        <v>2796.0349999999999</v>
      </c>
    </row>
    <row r="489" spans="1:2" x14ac:dyDescent="0.2">
      <c r="A489" s="2">
        <v>40207</v>
      </c>
      <c r="B489" s="3">
        <v>2680.4720000000002</v>
      </c>
    </row>
    <row r="490" spans="1:2" x14ac:dyDescent="0.2">
      <c r="A490" s="2">
        <v>40235</v>
      </c>
      <c r="B490" s="3">
        <v>2718.2579999999998</v>
      </c>
    </row>
    <row r="491" spans="1:2" x14ac:dyDescent="0.2">
      <c r="A491" s="2">
        <v>40268</v>
      </c>
      <c r="B491" s="3">
        <v>2886.6010000000001</v>
      </c>
    </row>
    <row r="492" spans="1:2" x14ac:dyDescent="0.2">
      <c r="A492" s="2">
        <v>40298</v>
      </c>
      <c r="B492" s="3">
        <v>2887.0059999999999</v>
      </c>
    </row>
    <row r="493" spans="1:2" x14ac:dyDescent="0.2">
      <c r="A493" s="2">
        <v>40329</v>
      </c>
      <c r="B493" s="3">
        <v>2610.4650000000001</v>
      </c>
    </row>
    <row r="494" spans="1:2" x14ac:dyDescent="0.2">
      <c r="A494" s="2">
        <v>40359</v>
      </c>
      <c r="B494" s="3">
        <v>2520.962</v>
      </c>
    </row>
    <row r="495" spans="1:2" x14ac:dyDescent="0.2">
      <c r="A495" s="2">
        <v>40389</v>
      </c>
      <c r="B495" s="3">
        <v>2725.3440000000001</v>
      </c>
    </row>
    <row r="496" spans="1:2" x14ac:dyDescent="0.2">
      <c r="A496" s="2">
        <v>40421</v>
      </c>
      <c r="B496" s="3">
        <v>2623.5929999999998</v>
      </c>
    </row>
    <row r="497" spans="1:2" x14ac:dyDescent="0.2">
      <c r="A497" s="2">
        <v>40451</v>
      </c>
      <c r="B497" s="3">
        <v>2868.232</v>
      </c>
    </row>
    <row r="498" spans="1:2" x14ac:dyDescent="0.2">
      <c r="A498" s="2">
        <v>40480</v>
      </c>
      <c r="B498" s="3">
        <v>2975.1469999999999</v>
      </c>
    </row>
    <row r="499" spans="1:2" x14ac:dyDescent="0.2">
      <c r="A499" s="2">
        <v>40512</v>
      </c>
      <c r="B499" s="3">
        <v>2910.915</v>
      </c>
    </row>
    <row r="500" spans="1:2" x14ac:dyDescent="0.2">
      <c r="A500" s="2">
        <v>40543</v>
      </c>
      <c r="B500" s="3">
        <v>3124.9409999999998</v>
      </c>
    </row>
    <row r="501" spans="1:2" x14ac:dyDescent="0.2">
      <c r="A501" s="2">
        <v>40574</v>
      </c>
      <c r="B501" s="3">
        <v>3195.5390000000002</v>
      </c>
    </row>
    <row r="502" spans="1:2" x14ac:dyDescent="0.2">
      <c r="A502" s="2">
        <v>40602</v>
      </c>
      <c r="B502" s="3">
        <v>3307.424</v>
      </c>
    </row>
    <row r="503" spans="1:2" x14ac:dyDescent="0.2">
      <c r="A503" s="2">
        <v>40633</v>
      </c>
      <c r="B503" s="3">
        <v>3274.8069999999998</v>
      </c>
    </row>
    <row r="504" spans="1:2" x14ac:dyDescent="0.2">
      <c r="A504" s="2">
        <v>40662</v>
      </c>
      <c r="B504" s="3">
        <v>3413.9290000000001</v>
      </c>
    </row>
    <row r="505" spans="1:2" x14ac:dyDescent="0.2">
      <c r="A505" s="2">
        <v>40694</v>
      </c>
      <c r="B505" s="3">
        <v>3343.1060000000002</v>
      </c>
    </row>
    <row r="506" spans="1:2" x14ac:dyDescent="0.2">
      <c r="A506" s="2">
        <v>40724</v>
      </c>
      <c r="B506" s="3">
        <v>3290.2190000000001</v>
      </c>
    </row>
    <row r="507" spans="1:2" x14ac:dyDescent="0.2">
      <c r="A507" s="2">
        <v>40753</v>
      </c>
      <c r="B507" s="3">
        <v>3230.56</v>
      </c>
    </row>
    <row r="508" spans="1:2" x14ac:dyDescent="0.2">
      <c r="A508" s="2">
        <v>40786</v>
      </c>
      <c r="B508" s="3">
        <v>3002.944</v>
      </c>
    </row>
    <row r="509" spans="1:2" x14ac:dyDescent="0.2">
      <c r="A509" s="2">
        <v>40816</v>
      </c>
      <c r="B509" s="3">
        <v>2743.578</v>
      </c>
    </row>
    <row r="510" spans="1:2" x14ac:dyDescent="0.2">
      <c r="A510" s="2">
        <v>40847</v>
      </c>
      <c r="B510" s="3">
        <v>3027.3649999999998</v>
      </c>
    </row>
    <row r="511" spans="1:2" x14ac:dyDescent="0.2">
      <c r="A511" s="2">
        <v>40877</v>
      </c>
      <c r="B511" s="3">
        <v>2953.45</v>
      </c>
    </row>
    <row r="512" spans="1:2" x14ac:dyDescent="0.2">
      <c r="A512" s="2">
        <v>40907</v>
      </c>
      <c r="B512" s="3">
        <v>2951.8090000000002</v>
      </c>
    </row>
    <row r="513" spans="1:2" x14ac:dyDescent="0.2">
      <c r="A513" s="2">
        <v>40939</v>
      </c>
      <c r="B513" s="3">
        <v>3099.94</v>
      </c>
    </row>
    <row r="514" spans="1:2" x14ac:dyDescent="0.2">
      <c r="A514" s="2">
        <v>40968</v>
      </c>
      <c r="B514" s="3">
        <v>3251.3679999999999</v>
      </c>
    </row>
    <row r="515" spans="1:2" x14ac:dyDescent="0.2">
      <c r="A515" s="2">
        <v>40998</v>
      </c>
      <c r="B515" s="3">
        <v>3293.1689999999999</v>
      </c>
    </row>
    <row r="516" spans="1:2" x14ac:dyDescent="0.2">
      <c r="A516" s="2">
        <v>41029</v>
      </c>
      <c r="B516" s="3">
        <v>3255.7719999999999</v>
      </c>
    </row>
    <row r="517" spans="1:2" x14ac:dyDescent="0.2">
      <c r="A517" s="2">
        <v>41060</v>
      </c>
      <c r="B517" s="3">
        <v>2974.721</v>
      </c>
    </row>
    <row r="518" spans="1:2" x14ac:dyDescent="0.2">
      <c r="A518" s="2">
        <v>41089</v>
      </c>
      <c r="B518" s="3">
        <v>3126.299</v>
      </c>
    </row>
    <row r="519" spans="1:2" x14ac:dyDescent="0.2">
      <c r="A519" s="2">
        <v>41121</v>
      </c>
      <c r="B519" s="3">
        <v>3166.489</v>
      </c>
    </row>
    <row r="520" spans="1:2" x14ac:dyDescent="0.2">
      <c r="A520" s="2">
        <v>41152</v>
      </c>
      <c r="B520" s="3">
        <v>3246.7649999999999</v>
      </c>
    </row>
    <row r="521" spans="1:2" x14ac:dyDescent="0.2">
      <c r="A521" s="2">
        <v>41180</v>
      </c>
      <c r="B521" s="3">
        <v>3335.9650000000001</v>
      </c>
    </row>
    <row r="522" spans="1:2" x14ac:dyDescent="0.2">
      <c r="A522" s="2">
        <v>41213</v>
      </c>
      <c r="B522" s="3">
        <v>3313.422</v>
      </c>
    </row>
    <row r="523" spans="1:2" x14ac:dyDescent="0.2">
      <c r="A523" s="2">
        <v>41243</v>
      </c>
      <c r="B523" s="3">
        <v>3355.85</v>
      </c>
    </row>
    <row r="524" spans="1:2" x14ac:dyDescent="0.2">
      <c r="A524" s="2">
        <v>41274</v>
      </c>
      <c r="B524" s="3">
        <v>3418.9609999999998</v>
      </c>
    </row>
    <row r="525" spans="1:2" x14ac:dyDescent="0.2">
      <c r="A525" s="2">
        <v>41305</v>
      </c>
      <c r="B525" s="3">
        <v>3593.1210000000001</v>
      </c>
    </row>
    <row r="526" spans="1:2" x14ac:dyDescent="0.2">
      <c r="A526" s="2">
        <v>41333</v>
      </c>
      <c r="B526" s="3">
        <v>3599.0540000000001</v>
      </c>
    </row>
    <row r="527" spans="1:2" x14ac:dyDescent="0.2">
      <c r="A527" s="2">
        <v>41362</v>
      </c>
      <c r="B527" s="3">
        <v>3683.3560000000002</v>
      </c>
    </row>
    <row r="528" spans="1:2" x14ac:dyDescent="0.2">
      <c r="A528" s="2">
        <v>41394</v>
      </c>
      <c r="B528" s="3">
        <v>3799.348</v>
      </c>
    </row>
    <row r="529" spans="1:2" x14ac:dyDescent="0.2">
      <c r="A529" s="2">
        <v>41425</v>
      </c>
      <c r="B529" s="3">
        <v>3800.7829999999999</v>
      </c>
    </row>
    <row r="530" spans="1:2" x14ac:dyDescent="0.2">
      <c r="A530" s="2">
        <v>41453</v>
      </c>
      <c r="B530" s="3">
        <v>3707.13</v>
      </c>
    </row>
    <row r="531" spans="1:2" x14ac:dyDescent="0.2">
      <c r="A531" s="2">
        <v>41486</v>
      </c>
      <c r="B531" s="3">
        <v>3902.2950000000001</v>
      </c>
    </row>
    <row r="532" spans="1:2" x14ac:dyDescent="0.2">
      <c r="A532" s="2">
        <v>41516</v>
      </c>
      <c r="B532" s="3">
        <v>3819.2350000000001</v>
      </c>
    </row>
    <row r="533" spans="1:2" x14ac:dyDescent="0.2">
      <c r="A533" s="2">
        <v>41547</v>
      </c>
      <c r="B533" s="3">
        <v>4010.2449999999999</v>
      </c>
    </row>
    <row r="534" spans="1:2" x14ac:dyDescent="0.2">
      <c r="A534" s="2">
        <v>41578</v>
      </c>
      <c r="B534" s="3">
        <v>4167.22</v>
      </c>
    </row>
    <row r="535" spans="1:2" x14ac:dyDescent="0.2">
      <c r="A535" s="2">
        <v>41607</v>
      </c>
      <c r="B535" s="3">
        <v>4241.2780000000002</v>
      </c>
    </row>
    <row r="536" spans="1:2" x14ac:dyDescent="0.2">
      <c r="A536" s="2">
        <v>41639</v>
      </c>
      <c r="B536" s="3">
        <v>4331.0219999999999</v>
      </c>
    </row>
    <row r="537" spans="1:2" x14ac:dyDescent="0.2">
      <c r="A537" s="2">
        <v>41670</v>
      </c>
      <c r="B537" s="3">
        <v>4170.6080000000002</v>
      </c>
    </row>
    <row r="538" spans="1:2" x14ac:dyDescent="0.2">
      <c r="A538" s="2">
        <v>41698</v>
      </c>
      <c r="B538" s="3">
        <v>4379.393</v>
      </c>
    </row>
    <row r="539" spans="1:2" x14ac:dyDescent="0.2">
      <c r="A539" s="2">
        <v>41729</v>
      </c>
      <c r="B539" s="3">
        <v>4385.7309999999998</v>
      </c>
    </row>
    <row r="540" spans="1:2" x14ac:dyDescent="0.2">
      <c r="A540" s="2">
        <v>41759</v>
      </c>
      <c r="B540" s="3">
        <v>4430.6710000000003</v>
      </c>
    </row>
    <row r="541" spans="1:2" x14ac:dyDescent="0.2">
      <c r="A541" s="2">
        <v>41789</v>
      </c>
      <c r="B541" s="3">
        <v>4517.8440000000001</v>
      </c>
    </row>
    <row r="542" spans="1:2" x14ac:dyDescent="0.2">
      <c r="A542" s="2">
        <v>41820</v>
      </c>
      <c r="B542" s="3">
        <v>4598.6639999999998</v>
      </c>
    </row>
    <row r="543" spans="1:2" x14ac:dyDescent="0.2">
      <c r="A543" s="2">
        <v>41851</v>
      </c>
      <c r="B543" s="3">
        <v>4525.2730000000001</v>
      </c>
    </row>
    <row r="544" spans="1:2" x14ac:dyDescent="0.2">
      <c r="A544" s="2">
        <v>41880</v>
      </c>
      <c r="B544" s="3">
        <v>4624.9880000000003</v>
      </c>
    </row>
    <row r="545" spans="1:2" x14ac:dyDescent="0.2">
      <c r="A545" s="2">
        <v>41912</v>
      </c>
      <c r="B545" s="3">
        <v>4499.4610000000002</v>
      </c>
    </row>
    <row r="546" spans="1:2" x14ac:dyDescent="0.2">
      <c r="A546" s="2">
        <v>41943</v>
      </c>
      <c r="B546" s="3">
        <v>4528.5680000000002</v>
      </c>
    </row>
    <row r="547" spans="1:2" x14ac:dyDescent="0.2">
      <c r="A547" s="2">
        <v>41971</v>
      </c>
      <c r="B547" s="3">
        <v>4619.3239999999996</v>
      </c>
    </row>
    <row r="548" spans="1:2" x14ac:dyDescent="0.2">
      <c r="A548" s="2">
        <v>42004</v>
      </c>
      <c r="B548" s="3">
        <v>4544.8370000000004</v>
      </c>
    </row>
    <row r="549" spans="1:2" x14ac:dyDescent="0.2">
      <c r="A549" s="2">
        <v>42034</v>
      </c>
      <c r="B549" s="3">
        <v>4462.4859999999999</v>
      </c>
    </row>
    <row r="550" spans="1:2" x14ac:dyDescent="0.2">
      <c r="A550" s="2">
        <v>42062</v>
      </c>
      <c r="B550" s="3">
        <v>4723.9369999999999</v>
      </c>
    </row>
    <row r="551" spans="1:2" x14ac:dyDescent="0.2">
      <c r="A551" s="2">
        <v>42094</v>
      </c>
      <c r="B551" s="3">
        <v>4649.991</v>
      </c>
    </row>
    <row r="552" spans="1:2" x14ac:dyDescent="0.2">
      <c r="A552" s="2">
        <v>42124</v>
      </c>
      <c r="B552" s="3">
        <v>4759.0450000000001</v>
      </c>
    </row>
    <row r="553" spans="1:2" x14ac:dyDescent="0.2">
      <c r="A553" s="2">
        <v>42153</v>
      </c>
      <c r="B553" s="3">
        <v>4775.4390000000003</v>
      </c>
    </row>
    <row r="554" spans="1:2" x14ac:dyDescent="0.2">
      <c r="A554" s="2">
        <v>42185</v>
      </c>
      <c r="B554" s="3">
        <v>4664.3990000000003</v>
      </c>
    </row>
    <row r="555" spans="1:2" x14ac:dyDescent="0.2">
      <c r="A555" s="2">
        <v>42216</v>
      </c>
      <c r="B555" s="3">
        <v>4748.125</v>
      </c>
    </row>
    <row r="556" spans="1:2" x14ac:dyDescent="0.2">
      <c r="A556" s="2">
        <v>42247</v>
      </c>
      <c r="B556" s="3">
        <v>4433.92</v>
      </c>
    </row>
    <row r="557" spans="1:2" x14ac:dyDescent="0.2">
      <c r="A557" s="2">
        <v>42277</v>
      </c>
      <c r="B557" s="3">
        <v>4270.3770000000004</v>
      </c>
    </row>
    <row r="558" spans="1:2" x14ac:dyDescent="0.2">
      <c r="A558" s="2">
        <v>42307</v>
      </c>
      <c r="B558" s="3">
        <v>4608.78</v>
      </c>
    </row>
    <row r="559" spans="1:2" x14ac:dyDescent="0.2">
      <c r="A559" s="2">
        <v>42338</v>
      </c>
      <c r="B559" s="3">
        <v>4585.848</v>
      </c>
    </row>
    <row r="560" spans="1:2" x14ac:dyDescent="0.2">
      <c r="A560" s="2">
        <v>42369</v>
      </c>
      <c r="B560" s="3">
        <v>4505.241</v>
      </c>
    </row>
    <row r="561" spans="1:2" x14ac:dyDescent="0.2">
      <c r="A561" s="2">
        <v>42398</v>
      </c>
      <c r="B561" s="3">
        <v>4235.7179999999998</v>
      </c>
    </row>
    <row r="562" spans="1:2" x14ac:dyDescent="0.2">
      <c r="A562" s="2">
        <v>42429</v>
      </c>
      <c r="B562" s="3">
        <v>4204.1940000000004</v>
      </c>
    </row>
    <row r="563" spans="1:2" x14ac:dyDescent="0.2">
      <c r="A563" s="2">
        <v>42460</v>
      </c>
      <c r="B563" s="3">
        <v>4489.4859999999999</v>
      </c>
    </row>
    <row r="564" spans="1:2" x14ac:dyDescent="0.2">
      <c r="A564" s="2">
        <v>42489</v>
      </c>
      <c r="B564" s="3">
        <v>4560.5259999999998</v>
      </c>
    </row>
    <row r="565" spans="1:2" x14ac:dyDescent="0.2">
      <c r="A565" s="2">
        <v>42521</v>
      </c>
      <c r="B565" s="3">
        <v>4586.1400000000003</v>
      </c>
    </row>
    <row r="566" spans="1:2" x14ac:dyDescent="0.2">
      <c r="A566" s="2">
        <v>42551</v>
      </c>
      <c r="B566" s="3">
        <v>4534.7510000000002</v>
      </c>
    </row>
    <row r="567" spans="1:2" x14ac:dyDescent="0.2">
      <c r="A567" s="2">
        <v>42580</v>
      </c>
      <c r="B567" s="3">
        <v>4726.3370000000004</v>
      </c>
    </row>
    <row r="568" spans="1:2" x14ac:dyDescent="0.2">
      <c r="A568" s="2">
        <v>42613</v>
      </c>
      <c r="B568" s="3">
        <v>4730.2650000000003</v>
      </c>
    </row>
    <row r="569" spans="1:2" x14ac:dyDescent="0.2">
      <c r="A569" s="2">
        <v>42643</v>
      </c>
      <c r="B569" s="3">
        <v>4755.3919999999998</v>
      </c>
    </row>
    <row r="570" spans="1:2" x14ac:dyDescent="0.2">
      <c r="A570" s="2">
        <v>42674</v>
      </c>
      <c r="B570" s="3">
        <v>4663.3609999999999</v>
      </c>
    </row>
    <row r="571" spans="1:2" x14ac:dyDescent="0.2">
      <c r="A571" s="2">
        <v>42704</v>
      </c>
      <c r="B571" s="3">
        <v>4730.4160000000002</v>
      </c>
    </row>
    <row r="572" spans="1:2" x14ac:dyDescent="0.2">
      <c r="A572" s="2">
        <v>42734</v>
      </c>
      <c r="B572" s="3">
        <v>4843.607</v>
      </c>
    </row>
    <row r="573" spans="1:2" x14ac:dyDescent="0.2">
      <c r="A573" s="2">
        <v>42766</v>
      </c>
      <c r="B573" s="3">
        <v>4960.5079999999998</v>
      </c>
    </row>
    <row r="574" spans="1:2" x14ac:dyDescent="0.2">
      <c r="A574" s="2">
        <v>42794</v>
      </c>
      <c r="B574" s="3">
        <v>5098.13</v>
      </c>
    </row>
    <row r="575" spans="1:2" x14ac:dyDescent="0.2">
      <c r="A575" s="2">
        <v>42825</v>
      </c>
      <c r="B575" s="3">
        <v>5152.4350000000004</v>
      </c>
    </row>
    <row r="576" spans="1:2" x14ac:dyDescent="0.2">
      <c r="A576" s="2">
        <v>42853</v>
      </c>
      <c r="B576" s="3">
        <v>5228.7259999999997</v>
      </c>
    </row>
    <row r="577" spans="1:2" x14ac:dyDescent="0.2">
      <c r="A577" s="2">
        <v>42886</v>
      </c>
      <c r="B577" s="3">
        <v>5339.3370000000004</v>
      </c>
    </row>
    <row r="578" spans="1:2" x14ac:dyDescent="0.2">
      <c r="A578" s="2">
        <v>42916</v>
      </c>
      <c r="B578" s="3">
        <v>5359.88</v>
      </c>
    </row>
    <row r="579" spans="1:2" x14ac:dyDescent="0.2">
      <c r="A579" s="2">
        <v>42947</v>
      </c>
      <c r="B579" s="3">
        <v>5488.1549999999997</v>
      </c>
    </row>
    <row r="580" spans="1:2" x14ac:dyDescent="0.2">
      <c r="A580" s="2">
        <v>42978</v>
      </c>
      <c r="B580" s="3">
        <v>5495.8829999999998</v>
      </c>
    </row>
    <row r="581" spans="1:2" x14ac:dyDescent="0.2">
      <c r="A581" s="2">
        <v>43007</v>
      </c>
      <c r="B581" s="3">
        <v>5619.2340000000004</v>
      </c>
    </row>
    <row r="582" spans="1:2" x14ac:dyDescent="0.2">
      <c r="A582" s="2">
        <v>43039</v>
      </c>
      <c r="B582" s="3">
        <v>5725.4290000000001</v>
      </c>
    </row>
    <row r="583" spans="1:2" x14ac:dyDescent="0.2">
      <c r="A583" s="2">
        <v>43069</v>
      </c>
      <c r="B583" s="3">
        <v>5849.4849999999997</v>
      </c>
    </row>
    <row r="584" spans="1:2" x14ac:dyDescent="0.2">
      <c r="A584" s="2">
        <v>43098</v>
      </c>
      <c r="B584" s="3">
        <v>5928.5910000000003</v>
      </c>
    </row>
    <row r="585" spans="1:2" x14ac:dyDescent="0.2">
      <c r="A585" s="2">
        <v>43131</v>
      </c>
      <c r="B585" s="3">
        <v>6241.6210000000001</v>
      </c>
    </row>
    <row r="586" spans="1:2" x14ac:dyDescent="0.2">
      <c r="A586" s="2">
        <v>43159</v>
      </c>
      <c r="B586" s="3">
        <v>5983.0469999999996</v>
      </c>
    </row>
    <row r="587" spans="1:2" x14ac:dyDescent="0.2">
      <c r="A587" s="2">
        <v>43189</v>
      </c>
      <c r="B587" s="3">
        <v>5852.6379999999999</v>
      </c>
    </row>
    <row r="588" spans="1:2" x14ac:dyDescent="0.2">
      <c r="A588" s="2">
        <v>43220</v>
      </c>
      <c r="B588" s="3">
        <v>5919.8909999999996</v>
      </c>
    </row>
    <row r="589" spans="1:2" x14ac:dyDescent="0.2">
      <c r="A589" s="2">
        <v>43251</v>
      </c>
      <c r="B589" s="3">
        <v>5956.9880000000003</v>
      </c>
    </row>
    <row r="590" spans="1:2" x14ac:dyDescent="0.2">
      <c r="A590" s="2">
        <v>43280</v>
      </c>
      <c r="B590" s="3">
        <v>5954.1459999999997</v>
      </c>
    </row>
    <row r="591" spans="1:2" x14ac:dyDescent="0.2">
      <c r="A591" s="2">
        <v>43312</v>
      </c>
      <c r="B591" s="3">
        <v>6140.1149999999998</v>
      </c>
    </row>
    <row r="592" spans="1:2" x14ac:dyDescent="0.2">
      <c r="A592" s="2">
        <v>43343</v>
      </c>
      <c r="B592" s="3">
        <v>6216.0860000000002</v>
      </c>
    </row>
    <row r="593" spans="1:2" x14ac:dyDescent="0.2">
      <c r="A593" s="2">
        <v>43371</v>
      </c>
      <c r="B593" s="3">
        <v>6250.6980000000003</v>
      </c>
    </row>
    <row r="594" spans="1:2" x14ac:dyDescent="0.2">
      <c r="A594" s="2">
        <v>43404</v>
      </c>
      <c r="B594" s="3">
        <v>5791.723</v>
      </c>
    </row>
    <row r="595" spans="1:2" x14ac:dyDescent="0.2">
      <c r="A595" s="2">
        <v>43434</v>
      </c>
      <c r="B595" s="3">
        <v>5857.5159999999996</v>
      </c>
    </row>
    <row r="596" spans="1:2" x14ac:dyDescent="0.2">
      <c r="A596" s="2">
        <v>43465</v>
      </c>
      <c r="B596" s="3">
        <v>5412.1220000000003</v>
      </c>
    </row>
    <row r="597" spans="1:2" x14ac:dyDescent="0.2">
      <c r="A597" s="2">
        <v>43496</v>
      </c>
      <c r="B597" s="3">
        <v>5833.2169999999996</v>
      </c>
    </row>
    <row r="598" spans="1:2" x14ac:dyDescent="0.2">
      <c r="A598" s="2">
        <v>43524</v>
      </c>
      <c r="B598" s="3">
        <v>6008.6210000000001</v>
      </c>
    </row>
    <row r="599" spans="1:2" x14ac:dyDescent="0.2">
      <c r="A599" s="2">
        <v>43553</v>
      </c>
      <c r="B599" s="3">
        <v>6087.5410000000002</v>
      </c>
    </row>
    <row r="600" spans="1:2" x14ac:dyDescent="0.2">
      <c r="A600" s="2">
        <v>43585</v>
      </c>
      <c r="B600" s="3">
        <v>6303.4009999999998</v>
      </c>
    </row>
    <row r="601" spans="1:2" x14ac:dyDescent="0.2">
      <c r="A601" s="2">
        <v>43616</v>
      </c>
      <c r="B601" s="3">
        <v>5939.6890000000003</v>
      </c>
    </row>
    <row r="602" spans="1:2" x14ac:dyDescent="0.2">
      <c r="A602" s="2">
        <v>43644</v>
      </c>
      <c r="B602" s="3">
        <v>6331.0839999999998</v>
      </c>
    </row>
    <row r="603" spans="1:2" x14ac:dyDescent="0.2">
      <c r="A603" s="2">
        <v>43677</v>
      </c>
      <c r="B603" s="3">
        <v>6362.4440000000004</v>
      </c>
    </row>
    <row r="604" spans="1:2" x14ac:dyDescent="0.2">
      <c r="A604" s="2">
        <v>43707</v>
      </c>
      <c r="B604" s="3">
        <v>6232.3029999999999</v>
      </c>
    </row>
    <row r="605" spans="1:2" x14ac:dyDescent="0.2">
      <c r="A605" s="2">
        <v>43738</v>
      </c>
      <c r="B605" s="3">
        <v>6364.933</v>
      </c>
    </row>
    <row r="606" spans="1:2" x14ac:dyDescent="0.2">
      <c r="A606" s="2">
        <v>43769</v>
      </c>
      <c r="B606" s="3">
        <v>6526.9040000000005</v>
      </c>
    </row>
    <row r="607" spans="1:2" x14ac:dyDescent="0.2">
      <c r="A607" s="2">
        <v>43798</v>
      </c>
      <c r="B607" s="3">
        <v>6708.68</v>
      </c>
    </row>
    <row r="608" spans="1:2" x14ac:dyDescent="0.2">
      <c r="A608" s="2">
        <v>43830</v>
      </c>
      <c r="B608" s="3">
        <v>6909.66</v>
      </c>
    </row>
    <row r="609" spans="1:2" x14ac:dyDescent="0.2">
      <c r="A609" s="2">
        <v>43861</v>
      </c>
      <c r="B609" s="3">
        <v>6867.6030000000001</v>
      </c>
    </row>
    <row r="610" spans="1:2" x14ac:dyDescent="0.2">
      <c r="A610" s="2">
        <v>43889</v>
      </c>
      <c r="B610" s="3">
        <v>6287.1170000000002</v>
      </c>
    </row>
    <row r="611" spans="1:2" x14ac:dyDescent="0.2">
      <c r="A611" s="2">
        <v>43921</v>
      </c>
      <c r="B611" s="3">
        <v>5455.0630000000001</v>
      </c>
    </row>
    <row r="612" spans="1:2" x14ac:dyDescent="0.2">
      <c r="A612" s="2">
        <v>43951</v>
      </c>
      <c r="B612" s="3">
        <v>6050.9970000000003</v>
      </c>
    </row>
    <row r="615" spans="1:2" x14ac:dyDescent="0.2">
      <c r="A615" t="s">
        <v>6</v>
      </c>
    </row>
    <row r="616" spans="1:2" x14ac:dyDescent="0.2">
      <c r="A616" t="s">
        <v>7</v>
      </c>
    </row>
    <row r="617" spans="1:2" x14ac:dyDescent="0.2">
      <c r="A617" t="s">
        <v>8</v>
      </c>
    </row>
    <row r="618" spans="1:2" x14ac:dyDescent="0.2">
      <c r="A618" t="s">
        <v>9</v>
      </c>
    </row>
    <row r="619" spans="1:2" x14ac:dyDescent="0.2">
      <c r="A619" t="s">
        <v>10</v>
      </c>
    </row>
    <row r="620" spans="1:2" x14ac:dyDescent="0.2">
      <c r="A620" t="s">
        <v>11</v>
      </c>
    </row>
    <row r="621" spans="1:2" x14ac:dyDescent="0.2">
      <c r="A621" t="s">
        <v>12</v>
      </c>
    </row>
    <row r="622" spans="1:2" x14ac:dyDescent="0.2">
      <c r="A622" t="s">
        <v>13</v>
      </c>
    </row>
    <row r="623" spans="1:2" x14ac:dyDescent="0.2">
      <c r="A623" t="s">
        <v>14</v>
      </c>
    </row>
    <row r="624" spans="1:2" x14ac:dyDescent="0.2">
      <c r="A624" t="s">
        <v>15</v>
      </c>
    </row>
    <row r="625" spans="1:1" x14ac:dyDescent="0.2">
      <c r="A625" t="s">
        <v>16</v>
      </c>
    </row>
    <row r="626" spans="1:1" x14ac:dyDescent="0.2">
      <c r="A626" t="s">
        <v>17</v>
      </c>
    </row>
    <row r="627" spans="1:1" x14ac:dyDescent="0.2">
      <c r="A627" t="s">
        <v>18</v>
      </c>
    </row>
    <row r="628" spans="1:1" x14ac:dyDescent="0.2">
      <c r="A628" t="s">
        <v>19</v>
      </c>
    </row>
    <row r="629" spans="1:1" x14ac:dyDescent="0.2">
      <c r="A629" t="s">
        <v>20</v>
      </c>
    </row>
    <row r="630" spans="1:1" x14ac:dyDescent="0.2">
      <c r="A630" t="s">
        <v>21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06"/>
  <sheetViews>
    <sheetView showGridLines="0" workbookViewId="0">
      <selection activeCell="G30" sqref="G30"/>
    </sheetView>
  </sheetViews>
  <sheetFormatPr defaultRowHeight="12.75" x14ac:dyDescent="0.2"/>
  <cols>
    <col min="1" max="1" width="12.85546875" bestFit="1" customWidth="1"/>
    <col min="2" max="2" width="13.42578125" bestFit="1" customWidth="1"/>
    <col min="3" max="3" width="11.7109375" bestFit="1" customWidth="1"/>
    <col min="4" max="4" width="12.28515625" bestFit="1" customWidth="1"/>
    <col min="5" max="5" width="14.42578125" bestFit="1" customWidth="1"/>
    <col min="6" max="6" width="7.7109375" bestFit="1" customWidth="1"/>
    <col min="7" max="7" width="18.85546875" bestFit="1" customWidth="1"/>
    <col min="8" max="8" width="13.42578125" bestFit="1" customWidth="1"/>
  </cols>
  <sheetData>
    <row r="1" spans="1:8" x14ac:dyDescent="0.2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</row>
    <row r="2" spans="1:8" x14ac:dyDescent="0.2">
      <c r="A2" t="s">
        <v>640</v>
      </c>
      <c r="B2" t="s">
        <v>30</v>
      </c>
      <c r="C2" t="s">
        <v>31</v>
      </c>
      <c r="D2" t="s">
        <v>32</v>
      </c>
      <c r="E2" t="s">
        <v>33</v>
      </c>
      <c r="F2" t="s">
        <v>34</v>
      </c>
      <c r="G2">
        <v>1.6846399999999999</v>
      </c>
      <c r="H2" t="s">
        <v>35</v>
      </c>
    </row>
    <row r="3" spans="1:8" x14ac:dyDescent="0.2">
      <c r="A3" t="s">
        <v>640</v>
      </c>
      <c r="B3" t="s">
        <v>30</v>
      </c>
      <c r="C3" t="s">
        <v>31</v>
      </c>
      <c r="D3" t="s">
        <v>32</v>
      </c>
      <c r="E3" t="s">
        <v>33</v>
      </c>
      <c r="F3" t="s">
        <v>36</v>
      </c>
      <c r="G3">
        <v>1.6846399999999999</v>
      </c>
      <c r="H3" t="s">
        <v>35</v>
      </c>
    </row>
    <row r="4" spans="1:8" x14ac:dyDescent="0.2">
      <c r="A4" t="s">
        <v>640</v>
      </c>
      <c r="B4" t="s">
        <v>30</v>
      </c>
      <c r="C4" t="s">
        <v>31</v>
      </c>
      <c r="D4" t="s">
        <v>32</v>
      </c>
      <c r="E4" t="s">
        <v>33</v>
      </c>
      <c r="F4" t="s">
        <v>37</v>
      </c>
      <c r="G4">
        <v>1.694515</v>
      </c>
      <c r="H4" t="s">
        <v>35</v>
      </c>
    </row>
    <row r="5" spans="1:8" x14ac:dyDescent="0.2">
      <c r="A5" t="s">
        <v>640</v>
      </c>
      <c r="B5" t="s">
        <v>30</v>
      </c>
      <c r="C5" t="s">
        <v>31</v>
      </c>
      <c r="D5" t="s">
        <v>32</v>
      </c>
      <c r="E5" t="s">
        <v>33</v>
      </c>
      <c r="F5" t="s">
        <v>38</v>
      </c>
      <c r="G5">
        <v>1.67279</v>
      </c>
      <c r="H5" t="s">
        <v>35</v>
      </c>
    </row>
    <row r="6" spans="1:8" x14ac:dyDescent="0.2">
      <c r="A6" t="s">
        <v>640</v>
      </c>
      <c r="B6" t="s">
        <v>30</v>
      </c>
      <c r="C6" t="s">
        <v>31</v>
      </c>
      <c r="D6" t="s">
        <v>32</v>
      </c>
      <c r="E6" t="s">
        <v>33</v>
      </c>
      <c r="F6" t="s">
        <v>39</v>
      </c>
      <c r="G6">
        <v>1.70834</v>
      </c>
      <c r="H6" t="s">
        <v>35</v>
      </c>
    </row>
    <row r="7" spans="1:8" x14ac:dyDescent="0.2">
      <c r="A7" t="s">
        <v>640</v>
      </c>
      <c r="B7" t="s">
        <v>30</v>
      </c>
      <c r="C7" t="s">
        <v>31</v>
      </c>
      <c r="D7" t="s">
        <v>32</v>
      </c>
      <c r="E7" t="s">
        <v>33</v>
      </c>
      <c r="F7" t="s">
        <v>40</v>
      </c>
      <c r="G7">
        <v>1.6984649999999999</v>
      </c>
      <c r="H7" t="s">
        <v>35</v>
      </c>
    </row>
    <row r="8" spans="1:8" x14ac:dyDescent="0.2">
      <c r="A8" t="s">
        <v>640</v>
      </c>
      <c r="B8" t="s">
        <v>30</v>
      </c>
      <c r="C8" t="s">
        <v>31</v>
      </c>
      <c r="D8" t="s">
        <v>32</v>
      </c>
      <c r="E8" t="s">
        <v>33</v>
      </c>
      <c r="F8" t="s">
        <v>41</v>
      </c>
      <c r="G8">
        <v>1.6797029999999999</v>
      </c>
      <c r="H8" t="s">
        <v>35</v>
      </c>
    </row>
    <row r="9" spans="1:8" x14ac:dyDescent="0.2">
      <c r="A9" t="s">
        <v>640</v>
      </c>
      <c r="B9" t="s">
        <v>30</v>
      </c>
      <c r="C9" t="s">
        <v>31</v>
      </c>
      <c r="D9" t="s">
        <v>32</v>
      </c>
      <c r="E9" t="s">
        <v>33</v>
      </c>
      <c r="F9" t="s">
        <v>42</v>
      </c>
      <c r="G9">
        <v>1.6856279999999999</v>
      </c>
      <c r="H9" t="s">
        <v>35</v>
      </c>
    </row>
    <row r="10" spans="1:8" x14ac:dyDescent="0.2">
      <c r="A10" t="s">
        <v>640</v>
      </c>
      <c r="B10" t="s">
        <v>30</v>
      </c>
      <c r="C10" t="s">
        <v>31</v>
      </c>
      <c r="D10" t="s">
        <v>32</v>
      </c>
      <c r="E10" t="s">
        <v>33</v>
      </c>
      <c r="F10" t="s">
        <v>43</v>
      </c>
      <c r="G10">
        <v>1.6984649999999999</v>
      </c>
      <c r="H10" t="s">
        <v>35</v>
      </c>
    </row>
    <row r="11" spans="1:8" x14ac:dyDescent="0.2">
      <c r="A11" t="s">
        <v>640</v>
      </c>
      <c r="B11" t="s">
        <v>30</v>
      </c>
      <c r="C11" t="s">
        <v>31</v>
      </c>
      <c r="D11" t="s">
        <v>32</v>
      </c>
      <c r="E11" t="s">
        <v>33</v>
      </c>
      <c r="F11" t="s">
        <v>44</v>
      </c>
      <c r="G11">
        <v>1.7122900000000001</v>
      </c>
      <c r="H11" t="s">
        <v>35</v>
      </c>
    </row>
    <row r="12" spans="1:8" x14ac:dyDescent="0.2">
      <c r="A12" t="s">
        <v>640</v>
      </c>
      <c r="B12" t="s">
        <v>30</v>
      </c>
      <c r="C12" t="s">
        <v>31</v>
      </c>
      <c r="D12" t="s">
        <v>32</v>
      </c>
      <c r="E12" t="s">
        <v>33</v>
      </c>
      <c r="F12" t="s">
        <v>45</v>
      </c>
      <c r="G12">
        <v>1.730064</v>
      </c>
      <c r="H12" t="s">
        <v>35</v>
      </c>
    </row>
    <row r="13" spans="1:8" x14ac:dyDescent="0.2">
      <c r="A13" t="s">
        <v>640</v>
      </c>
      <c r="B13" t="s">
        <v>30</v>
      </c>
      <c r="C13" t="s">
        <v>31</v>
      </c>
      <c r="D13" t="s">
        <v>32</v>
      </c>
      <c r="E13" t="s">
        <v>33</v>
      </c>
      <c r="F13" t="s">
        <v>46</v>
      </c>
      <c r="G13">
        <v>1.7399389999999999</v>
      </c>
      <c r="H13" t="s">
        <v>35</v>
      </c>
    </row>
    <row r="14" spans="1:8" x14ac:dyDescent="0.2">
      <c r="A14" t="s">
        <v>640</v>
      </c>
      <c r="B14" t="s">
        <v>30</v>
      </c>
      <c r="C14" t="s">
        <v>31</v>
      </c>
      <c r="D14" t="s">
        <v>32</v>
      </c>
      <c r="E14" t="s">
        <v>33</v>
      </c>
      <c r="F14" t="s">
        <v>47</v>
      </c>
      <c r="G14">
        <v>1.749814</v>
      </c>
      <c r="H14" t="s">
        <v>35</v>
      </c>
    </row>
    <row r="15" spans="1:8" x14ac:dyDescent="0.2">
      <c r="A15" t="s">
        <v>640</v>
      </c>
      <c r="B15" t="s">
        <v>30</v>
      </c>
      <c r="C15" t="s">
        <v>31</v>
      </c>
      <c r="D15" t="s">
        <v>32</v>
      </c>
      <c r="E15" t="s">
        <v>33</v>
      </c>
      <c r="F15" t="s">
        <v>48</v>
      </c>
      <c r="G15">
        <v>1.761663</v>
      </c>
      <c r="H15" t="s">
        <v>35</v>
      </c>
    </row>
    <row r="16" spans="1:8" x14ac:dyDescent="0.2">
      <c r="A16" t="s">
        <v>640</v>
      </c>
      <c r="B16" t="s">
        <v>30</v>
      </c>
      <c r="C16" t="s">
        <v>31</v>
      </c>
      <c r="D16" t="s">
        <v>32</v>
      </c>
      <c r="E16" t="s">
        <v>33</v>
      </c>
      <c r="F16" t="s">
        <v>49</v>
      </c>
      <c r="G16">
        <v>1.7952379999999999</v>
      </c>
      <c r="H16" t="s">
        <v>35</v>
      </c>
    </row>
    <row r="17" spans="1:8" x14ac:dyDescent="0.2">
      <c r="A17" t="s">
        <v>640</v>
      </c>
      <c r="B17" t="s">
        <v>30</v>
      </c>
      <c r="C17" t="s">
        <v>31</v>
      </c>
      <c r="D17" t="s">
        <v>32</v>
      </c>
      <c r="E17" t="s">
        <v>33</v>
      </c>
      <c r="F17" t="s">
        <v>50</v>
      </c>
      <c r="G17">
        <v>1.8031379999999999</v>
      </c>
      <c r="H17" t="s">
        <v>35</v>
      </c>
    </row>
    <row r="18" spans="1:8" x14ac:dyDescent="0.2">
      <c r="A18" t="s">
        <v>640</v>
      </c>
      <c r="B18" t="s">
        <v>30</v>
      </c>
      <c r="C18" t="s">
        <v>31</v>
      </c>
      <c r="D18" t="s">
        <v>32</v>
      </c>
      <c r="E18" t="s">
        <v>33</v>
      </c>
      <c r="F18" t="s">
        <v>51</v>
      </c>
      <c r="G18">
        <v>1.848562</v>
      </c>
      <c r="H18" t="s">
        <v>35</v>
      </c>
    </row>
    <row r="19" spans="1:8" x14ac:dyDescent="0.2">
      <c r="A19" t="s">
        <v>640</v>
      </c>
      <c r="B19" t="s">
        <v>30</v>
      </c>
      <c r="C19" t="s">
        <v>31</v>
      </c>
      <c r="D19" t="s">
        <v>32</v>
      </c>
      <c r="E19" t="s">
        <v>33</v>
      </c>
      <c r="F19" t="s">
        <v>52</v>
      </c>
      <c r="G19">
        <v>1.8732489999999999</v>
      </c>
      <c r="H19" t="s">
        <v>35</v>
      </c>
    </row>
    <row r="20" spans="1:8" x14ac:dyDescent="0.2">
      <c r="A20" t="s">
        <v>640</v>
      </c>
      <c r="B20" t="s">
        <v>30</v>
      </c>
      <c r="C20" t="s">
        <v>31</v>
      </c>
      <c r="D20" t="s">
        <v>32</v>
      </c>
      <c r="E20" t="s">
        <v>33</v>
      </c>
      <c r="F20" t="s">
        <v>53</v>
      </c>
      <c r="G20">
        <v>1.882136</v>
      </c>
      <c r="H20" t="s">
        <v>35</v>
      </c>
    </row>
    <row r="21" spans="1:8" x14ac:dyDescent="0.2">
      <c r="A21" t="s">
        <v>640</v>
      </c>
      <c r="B21" t="s">
        <v>30</v>
      </c>
      <c r="C21" t="s">
        <v>31</v>
      </c>
      <c r="D21" t="s">
        <v>32</v>
      </c>
      <c r="E21" t="s">
        <v>33</v>
      </c>
      <c r="F21" t="s">
        <v>54</v>
      </c>
      <c r="G21">
        <v>1.892998</v>
      </c>
      <c r="H21" t="s">
        <v>35</v>
      </c>
    </row>
    <row r="22" spans="1:8" x14ac:dyDescent="0.2">
      <c r="A22" t="s">
        <v>640</v>
      </c>
      <c r="B22" t="s">
        <v>30</v>
      </c>
      <c r="C22" t="s">
        <v>31</v>
      </c>
      <c r="D22" t="s">
        <v>32</v>
      </c>
      <c r="E22" t="s">
        <v>33</v>
      </c>
      <c r="F22" t="s">
        <v>55</v>
      </c>
      <c r="G22">
        <v>1.9068229999999999</v>
      </c>
      <c r="H22" t="s">
        <v>35</v>
      </c>
    </row>
    <row r="23" spans="1:8" x14ac:dyDescent="0.2">
      <c r="A23" t="s">
        <v>640</v>
      </c>
      <c r="B23" t="s">
        <v>30</v>
      </c>
      <c r="C23" t="s">
        <v>31</v>
      </c>
      <c r="D23" t="s">
        <v>32</v>
      </c>
      <c r="E23" t="s">
        <v>33</v>
      </c>
      <c r="F23" t="s">
        <v>56</v>
      </c>
      <c r="G23">
        <v>1.913735</v>
      </c>
      <c r="H23" t="s">
        <v>35</v>
      </c>
    </row>
    <row r="24" spans="1:8" x14ac:dyDescent="0.2">
      <c r="A24" t="s">
        <v>640</v>
      </c>
      <c r="B24" t="s">
        <v>30</v>
      </c>
      <c r="C24" t="s">
        <v>31</v>
      </c>
      <c r="D24" t="s">
        <v>32</v>
      </c>
      <c r="E24" t="s">
        <v>33</v>
      </c>
      <c r="F24" t="s">
        <v>57</v>
      </c>
      <c r="G24">
        <v>1.9749589999999999</v>
      </c>
      <c r="H24" t="s">
        <v>35</v>
      </c>
    </row>
    <row r="25" spans="1:8" x14ac:dyDescent="0.2">
      <c r="A25" t="s">
        <v>640</v>
      </c>
      <c r="B25" t="s">
        <v>30</v>
      </c>
      <c r="C25" t="s">
        <v>31</v>
      </c>
      <c r="D25" t="s">
        <v>32</v>
      </c>
      <c r="E25" t="s">
        <v>33</v>
      </c>
      <c r="F25" t="s">
        <v>58</v>
      </c>
      <c r="G25">
        <v>2.0075460000000001</v>
      </c>
      <c r="H25" t="s">
        <v>35</v>
      </c>
    </row>
    <row r="26" spans="1:8" x14ac:dyDescent="0.2">
      <c r="A26" t="s">
        <v>640</v>
      </c>
      <c r="B26" t="s">
        <v>30</v>
      </c>
      <c r="C26" t="s">
        <v>31</v>
      </c>
      <c r="D26" t="s">
        <v>32</v>
      </c>
      <c r="E26" t="s">
        <v>33</v>
      </c>
      <c r="F26" t="s">
        <v>59</v>
      </c>
      <c r="G26">
        <v>2.0569199999999999</v>
      </c>
      <c r="H26" t="s">
        <v>35</v>
      </c>
    </row>
    <row r="27" spans="1:8" x14ac:dyDescent="0.2">
      <c r="A27" t="s">
        <v>640</v>
      </c>
      <c r="B27" t="s">
        <v>30</v>
      </c>
      <c r="C27" t="s">
        <v>31</v>
      </c>
      <c r="D27" t="s">
        <v>32</v>
      </c>
      <c r="E27" t="s">
        <v>33</v>
      </c>
      <c r="F27" t="s">
        <v>60</v>
      </c>
      <c r="G27">
        <v>2.0292699999999999</v>
      </c>
      <c r="H27" t="s">
        <v>35</v>
      </c>
    </row>
    <row r="28" spans="1:8" x14ac:dyDescent="0.2">
      <c r="A28" t="s">
        <v>640</v>
      </c>
      <c r="B28" t="s">
        <v>30</v>
      </c>
      <c r="C28" t="s">
        <v>31</v>
      </c>
      <c r="D28" t="s">
        <v>32</v>
      </c>
      <c r="E28" t="s">
        <v>33</v>
      </c>
      <c r="F28" t="s">
        <v>61</v>
      </c>
      <c r="G28">
        <v>2.0421079999999998</v>
      </c>
      <c r="H28" t="s">
        <v>35</v>
      </c>
    </row>
    <row r="29" spans="1:8" x14ac:dyDescent="0.2">
      <c r="A29" t="s">
        <v>640</v>
      </c>
      <c r="B29" t="s">
        <v>30</v>
      </c>
      <c r="C29" t="s">
        <v>31</v>
      </c>
      <c r="D29" t="s">
        <v>32</v>
      </c>
      <c r="E29" t="s">
        <v>33</v>
      </c>
      <c r="F29" t="s">
        <v>62</v>
      </c>
      <c r="G29">
        <v>2.0776569999999999</v>
      </c>
      <c r="H29" t="s">
        <v>35</v>
      </c>
    </row>
    <row r="30" spans="1:8" x14ac:dyDescent="0.2">
      <c r="A30" t="s">
        <v>640</v>
      </c>
      <c r="B30" t="s">
        <v>30</v>
      </c>
      <c r="C30" t="s">
        <v>31</v>
      </c>
      <c r="D30" t="s">
        <v>32</v>
      </c>
      <c r="E30" t="s">
        <v>33</v>
      </c>
      <c r="F30" t="s">
        <v>63</v>
      </c>
      <c r="G30">
        <v>2.0993810000000002</v>
      </c>
      <c r="H30" t="s">
        <v>35</v>
      </c>
    </row>
    <row r="31" spans="1:8" x14ac:dyDescent="0.2">
      <c r="A31" t="s">
        <v>640</v>
      </c>
      <c r="B31" t="s">
        <v>30</v>
      </c>
      <c r="C31" t="s">
        <v>31</v>
      </c>
      <c r="D31" t="s">
        <v>32</v>
      </c>
      <c r="E31" t="s">
        <v>33</v>
      </c>
      <c r="F31" t="s">
        <v>64</v>
      </c>
      <c r="G31">
        <v>2.0895069999999998</v>
      </c>
      <c r="H31" t="s">
        <v>35</v>
      </c>
    </row>
    <row r="32" spans="1:8" x14ac:dyDescent="0.2">
      <c r="A32" t="s">
        <v>640</v>
      </c>
      <c r="B32" t="s">
        <v>30</v>
      </c>
      <c r="C32" t="s">
        <v>31</v>
      </c>
      <c r="D32" t="s">
        <v>32</v>
      </c>
      <c r="E32" t="s">
        <v>33</v>
      </c>
      <c r="F32" t="s">
        <v>65</v>
      </c>
      <c r="G32">
        <v>2.1546799999999999</v>
      </c>
      <c r="H32" t="s">
        <v>35</v>
      </c>
    </row>
    <row r="33" spans="1:8" x14ac:dyDescent="0.2">
      <c r="A33" t="s">
        <v>640</v>
      </c>
      <c r="B33" t="s">
        <v>30</v>
      </c>
      <c r="C33" t="s">
        <v>31</v>
      </c>
      <c r="D33" t="s">
        <v>32</v>
      </c>
      <c r="E33" t="s">
        <v>33</v>
      </c>
      <c r="F33" t="s">
        <v>66</v>
      </c>
      <c r="G33">
        <v>2.1003690000000002</v>
      </c>
      <c r="H33" t="s">
        <v>35</v>
      </c>
    </row>
    <row r="34" spans="1:8" x14ac:dyDescent="0.2">
      <c r="A34" t="s">
        <v>640</v>
      </c>
      <c r="B34" t="s">
        <v>30</v>
      </c>
      <c r="C34" t="s">
        <v>31</v>
      </c>
      <c r="D34" t="s">
        <v>32</v>
      </c>
      <c r="E34" t="s">
        <v>33</v>
      </c>
      <c r="F34" t="s">
        <v>67</v>
      </c>
      <c r="G34">
        <v>2.1141939999999999</v>
      </c>
      <c r="H34" t="s">
        <v>35</v>
      </c>
    </row>
    <row r="35" spans="1:8" x14ac:dyDescent="0.2">
      <c r="A35" t="s">
        <v>640</v>
      </c>
      <c r="B35" t="s">
        <v>30</v>
      </c>
      <c r="C35" t="s">
        <v>31</v>
      </c>
      <c r="D35" t="s">
        <v>32</v>
      </c>
      <c r="E35" t="s">
        <v>33</v>
      </c>
      <c r="F35" t="s">
        <v>68</v>
      </c>
      <c r="G35">
        <v>2.1043189999999998</v>
      </c>
      <c r="H35" t="s">
        <v>35</v>
      </c>
    </row>
    <row r="36" spans="1:8" x14ac:dyDescent="0.2">
      <c r="A36" t="s">
        <v>640</v>
      </c>
      <c r="B36" t="s">
        <v>30</v>
      </c>
      <c r="C36" t="s">
        <v>31</v>
      </c>
      <c r="D36" t="s">
        <v>32</v>
      </c>
      <c r="E36" t="s">
        <v>33</v>
      </c>
      <c r="F36" t="s">
        <v>69</v>
      </c>
      <c r="G36">
        <v>2.1398679999999999</v>
      </c>
      <c r="H36" t="s">
        <v>35</v>
      </c>
    </row>
    <row r="37" spans="1:8" x14ac:dyDescent="0.2">
      <c r="A37" t="s">
        <v>640</v>
      </c>
      <c r="B37" t="s">
        <v>30</v>
      </c>
      <c r="C37" t="s">
        <v>31</v>
      </c>
      <c r="D37" t="s">
        <v>32</v>
      </c>
      <c r="E37" t="s">
        <v>33</v>
      </c>
      <c r="F37" t="s">
        <v>70</v>
      </c>
      <c r="G37">
        <v>2.1527050000000001</v>
      </c>
      <c r="H37" t="s">
        <v>35</v>
      </c>
    </row>
    <row r="38" spans="1:8" x14ac:dyDescent="0.2">
      <c r="A38" t="s">
        <v>640</v>
      </c>
      <c r="B38" t="s">
        <v>30</v>
      </c>
      <c r="C38" t="s">
        <v>31</v>
      </c>
      <c r="D38" t="s">
        <v>32</v>
      </c>
      <c r="E38" t="s">
        <v>33</v>
      </c>
      <c r="F38" t="s">
        <v>71</v>
      </c>
      <c r="G38">
        <v>2.165543</v>
      </c>
      <c r="H38" t="s">
        <v>35</v>
      </c>
    </row>
    <row r="39" spans="1:8" x14ac:dyDescent="0.2">
      <c r="A39" t="s">
        <v>640</v>
      </c>
      <c r="B39" t="s">
        <v>30</v>
      </c>
      <c r="C39" t="s">
        <v>31</v>
      </c>
      <c r="D39" t="s">
        <v>32</v>
      </c>
      <c r="E39" t="s">
        <v>33</v>
      </c>
      <c r="F39" t="s">
        <v>72</v>
      </c>
      <c r="G39">
        <v>2.1951670000000001</v>
      </c>
      <c r="H39" t="s">
        <v>35</v>
      </c>
    </row>
    <row r="40" spans="1:8" x14ac:dyDescent="0.2">
      <c r="A40" t="s">
        <v>640</v>
      </c>
      <c r="B40" t="s">
        <v>30</v>
      </c>
      <c r="C40" t="s">
        <v>31</v>
      </c>
      <c r="D40" t="s">
        <v>32</v>
      </c>
      <c r="E40" t="s">
        <v>33</v>
      </c>
      <c r="F40" t="s">
        <v>73</v>
      </c>
      <c r="G40">
        <v>2.2376290000000001</v>
      </c>
      <c r="H40" t="s">
        <v>35</v>
      </c>
    </row>
    <row r="41" spans="1:8" x14ac:dyDescent="0.2">
      <c r="A41" t="s">
        <v>640</v>
      </c>
      <c r="B41" t="s">
        <v>30</v>
      </c>
      <c r="C41" t="s">
        <v>31</v>
      </c>
      <c r="D41" t="s">
        <v>32</v>
      </c>
      <c r="E41" t="s">
        <v>33</v>
      </c>
      <c r="F41" t="s">
        <v>74</v>
      </c>
      <c r="G41">
        <v>2.3077399999999999</v>
      </c>
      <c r="H41" t="s">
        <v>35</v>
      </c>
    </row>
    <row r="42" spans="1:8" x14ac:dyDescent="0.2">
      <c r="A42" t="s">
        <v>640</v>
      </c>
      <c r="B42" t="s">
        <v>30</v>
      </c>
      <c r="C42" t="s">
        <v>31</v>
      </c>
      <c r="D42" t="s">
        <v>32</v>
      </c>
      <c r="E42" t="s">
        <v>33</v>
      </c>
      <c r="F42" t="s">
        <v>75</v>
      </c>
      <c r="G42">
        <v>2.2860149999999999</v>
      </c>
      <c r="H42" t="s">
        <v>35</v>
      </c>
    </row>
    <row r="43" spans="1:8" x14ac:dyDescent="0.2">
      <c r="A43" t="s">
        <v>640</v>
      </c>
      <c r="B43" t="s">
        <v>30</v>
      </c>
      <c r="C43" t="s">
        <v>31</v>
      </c>
      <c r="D43" t="s">
        <v>32</v>
      </c>
      <c r="E43" t="s">
        <v>33</v>
      </c>
      <c r="F43" t="s">
        <v>76</v>
      </c>
      <c r="G43">
        <v>2.3037899999999998</v>
      </c>
      <c r="H43" t="s">
        <v>35</v>
      </c>
    </row>
    <row r="44" spans="1:8" x14ac:dyDescent="0.2">
      <c r="A44" t="s">
        <v>640</v>
      </c>
      <c r="B44" t="s">
        <v>30</v>
      </c>
      <c r="C44" t="s">
        <v>31</v>
      </c>
      <c r="D44" t="s">
        <v>32</v>
      </c>
      <c r="E44" t="s">
        <v>33</v>
      </c>
      <c r="F44" t="s">
        <v>77</v>
      </c>
      <c r="G44">
        <v>2.3472390000000001</v>
      </c>
      <c r="H44" t="s">
        <v>35</v>
      </c>
    </row>
    <row r="45" spans="1:8" x14ac:dyDescent="0.2">
      <c r="A45" t="s">
        <v>640</v>
      </c>
      <c r="B45" t="s">
        <v>30</v>
      </c>
      <c r="C45" t="s">
        <v>31</v>
      </c>
      <c r="D45" t="s">
        <v>32</v>
      </c>
      <c r="E45" t="s">
        <v>33</v>
      </c>
      <c r="F45" t="s">
        <v>78</v>
      </c>
      <c r="G45">
        <v>2.353164</v>
      </c>
      <c r="H45" t="s">
        <v>35</v>
      </c>
    </row>
    <row r="46" spans="1:8" x14ac:dyDescent="0.2">
      <c r="A46" t="s">
        <v>640</v>
      </c>
      <c r="B46" t="s">
        <v>30</v>
      </c>
      <c r="C46" t="s">
        <v>31</v>
      </c>
      <c r="D46" t="s">
        <v>32</v>
      </c>
      <c r="E46" t="s">
        <v>33</v>
      </c>
      <c r="F46" t="s">
        <v>79</v>
      </c>
      <c r="G46">
        <v>2.3669880000000001</v>
      </c>
      <c r="H46" t="s">
        <v>35</v>
      </c>
    </row>
    <row r="47" spans="1:8" x14ac:dyDescent="0.2">
      <c r="A47" t="s">
        <v>640</v>
      </c>
      <c r="B47" t="s">
        <v>30</v>
      </c>
      <c r="C47" t="s">
        <v>31</v>
      </c>
      <c r="D47" t="s">
        <v>32</v>
      </c>
      <c r="E47" t="s">
        <v>33</v>
      </c>
      <c r="F47" t="s">
        <v>80</v>
      </c>
      <c r="G47">
        <v>2.3936500000000001</v>
      </c>
      <c r="H47" t="s">
        <v>35</v>
      </c>
    </row>
    <row r="48" spans="1:8" x14ac:dyDescent="0.2">
      <c r="A48" t="s">
        <v>640</v>
      </c>
      <c r="B48" t="s">
        <v>30</v>
      </c>
      <c r="C48" t="s">
        <v>31</v>
      </c>
      <c r="D48" t="s">
        <v>32</v>
      </c>
      <c r="E48" t="s">
        <v>33</v>
      </c>
      <c r="F48" t="s">
        <v>81</v>
      </c>
      <c r="G48">
        <v>2.462774</v>
      </c>
      <c r="H48" t="s">
        <v>35</v>
      </c>
    </row>
    <row r="49" spans="1:8" x14ac:dyDescent="0.2">
      <c r="A49" t="s">
        <v>640</v>
      </c>
      <c r="B49" t="s">
        <v>30</v>
      </c>
      <c r="C49" t="s">
        <v>31</v>
      </c>
      <c r="D49" t="s">
        <v>32</v>
      </c>
      <c r="E49" t="s">
        <v>33</v>
      </c>
      <c r="F49" t="s">
        <v>82</v>
      </c>
      <c r="G49">
        <v>2.510173</v>
      </c>
      <c r="H49" t="s">
        <v>35</v>
      </c>
    </row>
    <row r="50" spans="1:8" x14ac:dyDescent="0.2">
      <c r="A50" t="s">
        <v>640</v>
      </c>
      <c r="B50" t="s">
        <v>30</v>
      </c>
      <c r="C50" t="s">
        <v>31</v>
      </c>
      <c r="D50" t="s">
        <v>32</v>
      </c>
      <c r="E50" t="s">
        <v>33</v>
      </c>
      <c r="F50" t="s">
        <v>83</v>
      </c>
      <c r="G50">
        <v>2.5348600000000001</v>
      </c>
      <c r="H50" t="s">
        <v>35</v>
      </c>
    </row>
    <row r="51" spans="1:8" x14ac:dyDescent="0.2">
      <c r="A51" t="s">
        <v>640</v>
      </c>
      <c r="B51" t="s">
        <v>30</v>
      </c>
      <c r="C51" t="s">
        <v>31</v>
      </c>
      <c r="D51" t="s">
        <v>32</v>
      </c>
      <c r="E51" t="s">
        <v>33</v>
      </c>
      <c r="F51" t="s">
        <v>84</v>
      </c>
      <c r="G51">
        <v>2.6316329999999999</v>
      </c>
      <c r="H51" t="s">
        <v>35</v>
      </c>
    </row>
    <row r="52" spans="1:8" x14ac:dyDescent="0.2">
      <c r="A52" t="s">
        <v>640</v>
      </c>
      <c r="B52" t="s">
        <v>30</v>
      </c>
      <c r="C52" t="s">
        <v>31</v>
      </c>
      <c r="D52" t="s">
        <v>32</v>
      </c>
      <c r="E52" t="s">
        <v>33</v>
      </c>
      <c r="F52" t="s">
        <v>85</v>
      </c>
      <c r="G52">
        <v>2.6711320000000001</v>
      </c>
      <c r="H52" t="s">
        <v>35</v>
      </c>
    </row>
    <row r="53" spans="1:8" x14ac:dyDescent="0.2">
      <c r="A53" t="s">
        <v>640</v>
      </c>
      <c r="B53" t="s">
        <v>30</v>
      </c>
      <c r="C53" t="s">
        <v>31</v>
      </c>
      <c r="D53" t="s">
        <v>32</v>
      </c>
      <c r="E53" t="s">
        <v>33</v>
      </c>
      <c r="F53" t="s">
        <v>86</v>
      </c>
      <c r="G53">
        <v>2.84388</v>
      </c>
      <c r="H53" t="s">
        <v>35</v>
      </c>
    </row>
    <row r="54" spans="1:8" x14ac:dyDescent="0.2">
      <c r="A54" t="s">
        <v>640</v>
      </c>
      <c r="B54" t="s">
        <v>30</v>
      </c>
      <c r="C54" t="s">
        <v>31</v>
      </c>
      <c r="D54" t="s">
        <v>32</v>
      </c>
      <c r="E54" t="s">
        <v>33</v>
      </c>
      <c r="F54" t="s">
        <v>87</v>
      </c>
      <c r="G54">
        <v>2.942593</v>
      </c>
      <c r="H54" t="s">
        <v>35</v>
      </c>
    </row>
    <row r="55" spans="1:8" x14ac:dyDescent="0.2">
      <c r="A55" t="s">
        <v>640</v>
      </c>
      <c r="B55" t="s">
        <v>30</v>
      </c>
      <c r="C55" t="s">
        <v>31</v>
      </c>
      <c r="D55" t="s">
        <v>32</v>
      </c>
      <c r="E55" t="s">
        <v>33</v>
      </c>
      <c r="F55" t="s">
        <v>88</v>
      </c>
      <c r="G55">
        <v>2.9190900000000002</v>
      </c>
      <c r="H55" t="s">
        <v>35</v>
      </c>
    </row>
    <row r="56" spans="1:8" x14ac:dyDescent="0.2">
      <c r="A56" t="s">
        <v>640</v>
      </c>
      <c r="B56" t="s">
        <v>30</v>
      </c>
      <c r="C56" t="s">
        <v>31</v>
      </c>
      <c r="D56" t="s">
        <v>32</v>
      </c>
      <c r="E56" t="s">
        <v>33</v>
      </c>
      <c r="F56" t="s">
        <v>89</v>
      </c>
      <c r="G56">
        <v>2.9461189999999999</v>
      </c>
      <c r="H56" t="s">
        <v>35</v>
      </c>
    </row>
    <row r="57" spans="1:8" x14ac:dyDescent="0.2">
      <c r="A57" t="s">
        <v>640</v>
      </c>
      <c r="B57" t="s">
        <v>30</v>
      </c>
      <c r="C57" t="s">
        <v>31</v>
      </c>
      <c r="D57" t="s">
        <v>32</v>
      </c>
      <c r="E57" t="s">
        <v>33</v>
      </c>
      <c r="F57" t="s">
        <v>90</v>
      </c>
      <c r="G57">
        <v>2.9531700000000001</v>
      </c>
      <c r="H57" t="s">
        <v>35</v>
      </c>
    </row>
    <row r="58" spans="1:8" x14ac:dyDescent="0.2">
      <c r="A58" t="s">
        <v>640</v>
      </c>
      <c r="B58" t="s">
        <v>30</v>
      </c>
      <c r="C58" t="s">
        <v>31</v>
      </c>
      <c r="D58" t="s">
        <v>32</v>
      </c>
      <c r="E58" t="s">
        <v>33</v>
      </c>
      <c r="F58" t="s">
        <v>91</v>
      </c>
      <c r="G58">
        <v>2.9778479999999998</v>
      </c>
      <c r="H58" t="s">
        <v>35</v>
      </c>
    </row>
    <row r="59" spans="1:8" x14ac:dyDescent="0.2">
      <c r="A59" t="s">
        <v>640</v>
      </c>
      <c r="B59" t="s">
        <v>30</v>
      </c>
      <c r="C59" t="s">
        <v>31</v>
      </c>
      <c r="D59" t="s">
        <v>32</v>
      </c>
      <c r="E59" t="s">
        <v>33</v>
      </c>
      <c r="F59" t="s">
        <v>92</v>
      </c>
      <c r="G59">
        <v>3.083612</v>
      </c>
      <c r="H59" t="s">
        <v>35</v>
      </c>
    </row>
    <row r="60" spans="1:8" x14ac:dyDescent="0.2">
      <c r="A60" t="s">
        <v>640</v>
      </c>
      <c r="B60" t="s">
        <v>30</v>
      </c>
      <c r="C60" t="s">
        <v>31</v>
      </c>
      <c r="D60" t="s">
        <v>32</v>
      </c>
      <c r="E60" t="s">
        <v>33</v>
      </c>
      <c r="F60" t="s">
        <v>93</v>
      </c>
      <c r="G60">
        <v>3.2328570000000001</v>
      </c>
      <c r="H60" t="s">
        <v>35</v>
      </c>
    </row>
    <row r="61" spans="1:8" x14ac:dyDescent="0.2">
      <c r="A61" t="s">
        <v>640</v>
      </c>
      <c r="B61" t="s">
        <v>30</v>
      </c>
      <c r="C61" t="s">
        <v>31</v>
      </c>
      <c r="D61" t="s">
        <v>32</v>
      </c>
      <c r="E61" t="s">
        <v>33</v>
      </c>
      <c r="F61" t="s">
        <v>94</v>
      </c>
      <c r="G61">
        <v>3.1447210000000001</v>
      </c>
      <c r="H61" t="s">
        <v>35</v>
      </c>
    </row>
    <row r="62" spans="1:8" x14ac:dyDescent="0.2">
      <c r="A62" t="s">
        <v>640</v>
      </c>
      <c r="B62" t="s">
        <v>30</v>
      </c>
      <c r="C62" t="s">
        <v>31</v>
      </c>
      <c r="D62" t="s">
        <v>32</v>
      </c>
      <c r="E62" t="s">
        <v>33</v>
      </c>
      <c r="F62" t="s">
        <v>95</v>
      </c>
      <c r="G62">
        <v>3.1082909999999999</v>
      </c>
      <c r="H62" t="s">
        <v>35</v>
      </c>
    </row>
    <row r="63" spans="1:8" x14ac:dyDescent="0.2">
      <c r="A63" t="s">
        <v>640</v>
      </c>
      <c r="B63" t="s">
        <v>30</v>
      </c>
      <c r="C63" t="s">
        <v>31</v>
      </c>
      <c r="D63" t="s">
        <v>32</v>
      </c>
      <c r="E63" t="s">
        <v>33</v>
      </c>
      <c r="F63" t="s">
        <v>96</v>
      </c>
      <c r="G63">
        <v>3.1200420000000002</v>
      </c>
      <c r="H63" t="s">
        <v>35</v>
      </c>
    </row>
    <row r="64" spans="1:8" x14ac:dyDescent="0.2">
      <c r="A64" t="s">
        <v>640</v>
      </c>
      <c r="B64" t="s">
        <v>30</v>
      </c>
      <c r="C64" t="s">
        <v>31</v>
      </c>
      <c r="D64" t="s">
        <v>32</v>
      </c>
      <c r="E64" t="s">
        <v>33</v>
      </c>
      <c r="F64" t="s">
        <v>97</v>
      </c>
      <c r="G64">
        <v>3.2634110000000001</v>
      </c>
      <c r="H64" t="s">
        <v>35</v>
      </c>
    </row>
    <row r="65" spans="1:8" x14ac:dyDescent="0.2">
      <c r="A65" t="s">
        <v>640</v>
      </c>
      <c r="B65" t="s">
        <v>30</v>
      </c>
      <c r="C65" t="s">
        <v>31</v>
      </c>
      <c r="D65" t="s">
        <v>32</v>
      </c>
      <c r="E65" t="s">
        <v>33</v>
      </c>
      <c r="F65" t="s">
        <v>98</v>
      </c>
      <c r="G65">
        <v>3.2128800000000002</v>
      </c>
      <c r="H65" t="s">
        <v>35</v>
      </c>
    </row>
    <row r="66" spans="1:8" x14ac:dyDescent="0.2">
      <c r="A66" t="s">
        <v>640</v>
      </c>
      <c r="B66" t="s">
        <v>30</v>
      </c>
      <c r="C66" t="s">
        <v>31</v>
      </c>
      <c r="D66" t="s">
        <v>32</v>
      </c>
      <c r="E66" t="s">
        <v>33</v>
      </c>
      <c r="F66" t="s">
        <v>99</v>
      </c>
      <c r="G66">
        <v>3.3762259999999999</v>
      </c>
      <c r="H66" t="s">
        <v>35</v>
      </c>
    </row>
    <row r="67" spans="1:8" x14ac:dyDescent="0.2">
      <c r="A67" t="s">
        <v>640</v>
      </c>
      <c r="B67" t="s">
        <v>30</v>
      </c>
      <c r="C67" t="s">
        <v>31</v>
      </c>
      <c r="D67" t="s">
        <v>32</v>
      </c>
      <c r="E67" t="s">
        <v>33</v>
      </c>
      <c r="F67" t="s">
        <v>100</v>
      </c>
      <c r="G67">
        <v>3.345672</v>
      </c>
      <c r="H67" t="s">
        <v>35</v>
      </c>
    </row>
    <row r="68" spans="1:8" x14ac:dyDescent="0.2">
      <c r="A68" t="s">
        <v>640</v>
      </c>
      <c r="B68" t="s">
        <v>30</v>
      </c>
      <c r="C68" t="s">
        <v>31</v>
      </c>
      <c r="D68" t="s">
        <v>32</v>
      </c>
      <c r="E68" t="s">
        <v>33</v>
      </c>
      <c r="F68" t="s">
        <v>101</v>
      </c>
      <c r="G68">
        <v>3.356249</v>
      </c>
      <c r="H68" t="s">
        <v>35</v>
      </c>
    </row>
    <row r="69" spans="1:8" x14ac:dyDescent="0.2">
      <c r="A69" t="s">
        <v>640</v>
      </c>
      <c r="B69" t="s">
        <v>30</v>
      </c>
      <c r="C69" t="s">
        <v>31</v>
      </c>
      <c r="D69" t="s">
        <v>32</v>
      </c>
      <c r="E69" t="s">
        <v>33</v>
      </c>
      <c r="F69" t="s">
        <v>102</v>
      </c>
      <c r="G69">
        <v>3.4573119999999999</v>
      </c>
      <c r="H69" t="s">
        <v>35</v>
      </c>
    </row>
    <row r="70" spans="1:8" x14ac:dyDescent="0.2">
      <c r="A70" t="s">
        <v>640</v>
      </c>
      <c r="B70" t="s">
        <v>30</v>
      </c>
      <c r="C70" t="s">
        <v>31</v>
      </c>
      <c r="D70" t="s">
        <v>32</v>
      </c>
      <c r="E70" t="s">
        <v>33</v>
      </c>
      <c r="F70" t="s">
        <v>103</v>
      </c>
      <c r="G70">
        <v>3.4831660000000002</v>
      </c>
      <c r="H70" t="s">
        <v>35</v>
      </c>
    </row>
    <row r="71" spans="1:8" x14ac:dyDescent="0.2">
      <c r="A71" t="s">
        <v>640</v>
      </c>
      <c r="B71" t="s">
        <v>30</v>
      </c>
      <c r="C71" t="s">
        <v>31</v>
      </c>
      <c r="D71" t="s">
        <v>32</v>
      </c>
      <c r="E71" t="s">
        <v>33</v>
      </c>
      <c r="F71" t="s">
        <v>104</v>
      </c>
      <c r="G71">
        <v>3.4326340000000002</v>
      </c>
      <c r="H71" t="s">
        <v>35</v>
      </c>
    </row>
    <row r="72" spans="1:8" x14ac:dyDescent="0.2">
      <c r="A72" t="s">
        <v>640</v>
      </c>
      <c r="B72" t="s">
        <v>30</v>
      </c>
      <c r="C72" t="s">
        <v>31</v>
      </c>
      <c r="D72" t="s">
        <v>32</v>
      </c>
      <c r="E72" t="s">
        <v>33</v>
      </c>
      <c r="F72" t="s">
        <v>105</v>
      </c>
      <c r="G72">
        <v>3.5901049999999999</v>
      </c>
      <c r="H72" t="s">
        <v>35</v>
      </c>
    </row>
    <row r="73" spans="1:8" x14ac:dyDescent="0.2">
      <c r="A73" t="s">
        <v>640</v>
      </c>
      <c r="B73" t="s">
        <v>30</v>
      </c>
      <c r="C73" t="s">
        <v>31</v>
      </c>
      <c r="D73" t="s">
        <v>32</v>
      </c>
      <c r="E73" t="s">
        <v>33</v>
      </c>
      <c r="F73" t="s">
        <v>106</v>
      </c>
      <c r="G73">
        <v>3.5595509999999999</v>
      </c>
      <c r="H73" t="s">
        <v>35</v>
      </c>
    </row>
    <row r="74" spans="1:8" x14ac:dyDescent="0.2">
      <c r="A74" t="s">
        <v>640</v>
      </c>
      <c r="B74" t="s">
        <v>30</v>
      </c>
      <c r="C74" t="s">
        <v>31</v>
      </c>
      <c r="D74" t="s">
        <v>32</v>
      </c>
      <c r="E74" t="s">
        <v>33</v>
      </c>
      <c r="F74" t="s">
        <v>107</v>
      </c>
      <c r="G74">
        <v>3.5666020000000001</v>
      </c>
      <c r="H74" t="s">
        <v>35</v>
      </c>
    </row>
    <row r="75" spans="1:8" x14ac:dyDescent="0.2">
      <c r="A75" t="s">
        <v>640</v>
      </c>
      <c r="B75" t="s">
        <v>30</v>
      </c>
      <c r="C75" t="s">
        <v>31</v>
      </c>
      <c r="D75" t="s">
        <v>32</v>
      </c>
      <c r="E75" t="s">
        <v>33</v>
      </c>
      <c r="F75" t="s">
        <v>108</v>
      </c>
      <c r="G75">
        <v>3.788707</v>
      </c>
      <c r="H75" t="s">
        <v>35</v>
      </c>
    </row>
    <row r="76" spans="1:8" x14ac:dyDescent="0.2">
      <c r="A76" t="s">
        <v>640</v>
      </c>
      <c r="B76" t="s">
        <v>30</v>
      </c>
      <c r="C76" t="s">
        <v>31</v>
      </c>
      <c r="D76" t="s">
        <v>32</v>
      </c>
      <c r="E76" t="s">
        <v>33</v>
      </c>
      <c r="F76" t="s">
        <v>109</v>
      </c>
      <c r="G76">
        <v>4.0378400000000001</v>
      </c>
      <c r="H76" t="s">
        <v>35</v>
      </c>
    </row>
    <row r="77" spans="1:8" x14ac:dyDescent="0.2">
      <c r="A77" t="s">
        <v>640</v>
      </c>
      <c r="B77" t="s">
        <v>30</v>
      </c>
      <c r="C77" t="s">
        <v>31</v>
      </c>
      <c r="D77" t="s">
        <v>32</v>
      </c>
      <c r="E77" t="s">
        <v>33</v>
      </c>
      <c r="F77" t="s">
        <v>110</v>
      </c>
      <c r="G77">
        <v>3.8897699999999999</v>
      </c>
      <c r="H77" t="s">
        <v>35</v>
      </c>
    </row>
    <row r="78" spans="1:8" x14ac:dyDescent="0.2">
      <c r="A78" t="s">
        <v>640</v>
      </c>
      <c r="B78" t="s">
        <v>30</v>
      </c>
      <c r="C78" t="s">
        <v>31</v>
      </c>
      <c r="D78" t="s">
        <v>32</v>
      </c>
      <c r="E78" t="s">
        <v>33</v>
      </c>
      <c r="F78" t="s">
        <v>111</v>
      </c>
      <c r="G78">
        <v>3.9931839999999998</v>
      </c>
      <c r="H78" t="s">
        <v>35</v>
      </c>
    </row>
    <row r="79" spans="1:8" x14ac:dyDescent="0.2">
      <c r="A79" t="s">
        <v>640</v>
      </c>
      <c r="B79" t="s">
        <v>30</v>
      </c>
      <c r="C79" t="s">
        <v>31</v>
      </c>
      <c r="D79" t="s">
        <v>32</v>
      </c>
      <c r="E79" t="s">
        <v>33</v>
      </c>
      <c r="F79" t="s">
        <v>112</v>
      </c>
      <c r="G79">
        <v>3.7734299999999998</v>
      </c>
      <c r="H79" t="s">
        <v>35</v>
      </c>
    </row>
    <row r="80" spans="1:8" x14ac:dyDescent="0.2">
      <c r="A80" t="s">
        <v>640</v>
      </c>
      <c r="B80" t="s">
        <v>30</v>
      </c>
      <c r="C80" t="s">
        <v>31</v>
      </c>
      <c r="D80" t="s">
        <v>32</v>
      </c>
      <c r="E80" t="s">
        <v>33</v>
      </c>
      <c r="F80" t="s">
        <v>113</v>
      </c>
      <c r="G80">
        <v>3.6617899999999999</v>
      </c>
      <c r="H80" t="s">
        <v>35</v>
      </c>
    </row>
    <row r="81" spans="1:8" x14ac:dyDescent="0.2">
      <c r="A81" t="s">
        <v>640</v>
      </c>
      <c r="B81" t="s">
        <v>30</v>
      </c>
      <c r="C81" t="s">
        <v>31</v>
      </c>
      <c r="D81" t="s">
        <v>32</v>
      </c>
      <c r="E81" t="s">
        <v>33</v>
      </c>
      <c r="F81" t="s">
        <v>114</v>
      </c>
      <c r="G81">
        <v>3.8968210000000001</v>
      </c>
      <c r="H81" t="s">
        <v>35</v>
      </c>
    </row>
    <row r="82" spans="1:8" x14ac:dyDescent="0.2">
      <c r="A82" t="s">
        <v>640</v>
      </c>
      <c r="B82" t="s">
        <v>30</v>
      </c>
      <c r="C82" t="s">
        <v>31</v>
      </c>
      <c r="D82" t="s">
        <v>32</v>
      </c>
      <c r="E82" t="s">
        <v>33</v>
      </c>
      <c r="F82" t="s">
        <v>115</v>
      </c>
      <c r="G82">
        <v>4.219989</v>
      </c>
      <c r="H82" t="s">
        <v>35</v>
      </c>
    </row>
    <row r="83" spans="1:8" x14ac:dyDescent="0.2">
      <c r="A83" t="s">
        <v>640</v>
      </c>
      <c r="B83" t="s">
        <v>30</v>
      </c>
      <c r="C83" t="s">
        <v>31</v>
      </c>
      <c r="D83" t="s">
        <v>32</v>
      </c>
      <c r="E83" t="s">
        <v>33</v>
      </c>
      <c r="F83" t="s">
        <v>116</v>
      </c>
      <c r="G83">
        <v>4.2963740000000001</v>
      </c>
      <c r="H83" t="s">
        <v>35</v>
      </c>
    </row>
    <row r="84" spans="1:8" x14ac:dyDescent="0.2">
      <c r="A84" t="s">
        <v>640</v>
      </c>
      <c r="B84" t="s">
        <v>30</v>
      </c>
      <c r="C84" t="s">
        <v>31</v>
      </c>
      <c r="D84" t="s">
        <v>32</v>
      </c>
      <c r="E84" t="s">
        <v>33</v>
      </c>
      <c r="F84" t="s">
        <v>117</v>
      </c>
      <c r="G84">
        <v>4.4162410000000003</v>
      </c>
      <c r="H84" t="s">
        <v>35</v>
      </c>
    </row>
    <row r="85" spans="1:8" x14ac:dyDescent="0.2">
      <c r="A85" t="s">
        <v>640</v>
      </c>
      <c r="B85" t="s">
        <v>30</v>
      </c>
      <c r="C85" t="s">
        <v>31</v>
      </c>
      <c r="D85" t="s">
        <v>32</v>
      </c>
      <c r="E85" t="s">
        <v>33</v>
      </c>
      <c r="F85" t="s">
        <v>118</v>
      </c>
      <c r="G85">
        <v>4.5654849999999998</v>
      </c>
      <c r="H85" t="s">
        <v>35</v>
      </c>
    </row>
    <row r="86" spans="1:8" x14ac:dyDescent="0.2">
      <c r="A86" t="s">
        <v>640</v>
      </c>
      <c r="B86" t="s">
        <v>30</v>
      </c>
      <c r="C86" t="s">
        <v>31</v>
      </c>
      <c r="D86" t="s">
        <v>32</v>
      </c>
      <c r="E86" t="s">
        <v>33</v>
      </c>
      <c r="F86" t="s">
        <v>119</v>
      </c>
      <c r="G86">
        <v>4.6254189999999999</v>
      </c>
      <c r="H86" t="s">
        <v>35</v>
      </c>
    </row>
    <row r="87" spans="1:8" x14ac:dyDescent="0.2">
      <c r="A87" t="s">
        <v>640</v>
      </c>
      <c r="B87" t="s">
        <v>30</v>
      </c>
      <c r="C87" t="s">
        <v>31</v>
      </c>
      <c r="D87" t="s">
        <v>32</v>
      </c>
      <c r="E87" t="s">
        <v>33</v>
      </c>
      <c r="F87" t="s">
        <v>120</v>
      </c>
      <c r="G87">
        <v>4.8157940000000004</v>
      </c>
      <c r="H87" t="s">
        <v>35</v>
      </c>
    </row>
    <row r="88" spans="1:8" x14ac:dyDescent="0.2">
      <c r="A88" t="s">
        <v>640</v>
      </c>
      <c r="B88" t="s">
        <v>30</v>
      </c>
      <c r="C88" t="s">
        <v>31</v>
      </c>
      <c r="D88" t="s">
        <v>32</v>
      </c>
      <c r="E88" t="s">
        <v>33</v>
      </c>
      <c r="F88" t="s">
        <v>121</v>
      </c>
      <c r="G88">
        <v>4.7958160000000003</v>
      </c>
      <c r="H88" t="s">
        <v>35</v>
      </c>
    </row>
    <row r="89" spans="1:8" x14ac:dyDescent="0.2">
      <c r="A89" t="s">
        <v>640</v>
      </c>
      <c r="B89" t="s">
        <v>30</v>
      </c>
      <c r="C89" t="s">
        <v>31</v>
      </c>
      <c r="D89" t="s">
        <v>32</v>
      </c>
      <c r="E89" t="s">
        <v>33</v>
      </c>
      <c r="F89" t="s">
        <v>122</v>
      </c>
      <c r="G89">
        <v>4.930167</v>
      </c>
      <c r="H89" t="s">
        <v>35</v>
      </c>
    </row>
    <row r="90" spans="1:8" x14ac:dyDescent="0.2">
      <c r="A90" t="s">
        <v>640</v>
      </c>
      <c r="B90" t="s">
        <v>30</v>
      </c>
      <c r="C90" t="s">
        <v>31</v>
      </c>
      <c r="D90" t="s">
        <v>32</v>
      </c>
      <c r="E90" t="s">
        <v>33</v>
      </c>
      <c r="F90" t="s">
        <v>123</v>
      </c>
      <c r="G90">
        <v>5.3182910000000003</v>
      </c>
      <c r="H90" t="s">
        <v>35</v>
      </c>
    </row>
    <row r="91" spans="1:8" x14ac:dyDescent="0.2">
      <c r="A91" t="s">
        <v>640</v>
      </c>
      <c r="B91" t="s">
        <v>30</v>
      </c>
      <c r="C91" t="s">
        <v>31</v>
      </c>
      <c r="D91" t="s">
        <v>32</v>
      </c>
      <c r="E91" t="s">
        <v>33</v>
      </c>
      <c r="F91" t="s">
        <v>124</v>
      </c>
      <c r="G91">
        <v>5.4994149999999999</v>
      </c>
      <c r="H91" t="s">
        <v>35</v>
      </c>
    </row>
    <row r="92" spans="1:8" x14ac:dyDescent="0.2">
      <c r="A92" t="s">
        <v>640</v>
      </c>
      <c r="B92" t="s">
        <v>30</v>
      </c>
      <c r="C92" t="s">
        <v>31</v>
      </c>
      <c r="D92" t="s">
        <v>32</v>
      </c>
      <c r="E92" t="s">
        <v>33</v>
      </c>
      <c r="F92" t="s">
        <v>125</v>
      </c>
      <c r="G92">
        <v>5.5392219999999996</v>
      </c>
      <c r="H92" t="s">
        <v>35</v>
      </c>
    </row>
    <row r="93" spans="1:8" x14ac:dyDescent="0.2">
      <c r="A93" t="s">
        <v>640</v>
      </c>
      <c r="B93" t="s">
        <v>30</v>
      </c>
      <c r="C93" t="s">
        <v>31</v>
      </c>
      <c r="D93" t="s">
        <v>32</v>
      </c>
      <c r="E93" t="s">
        <v>33</v>
      </c>
      <c r="F93" t="s">
        <v>126</v>
      </c>
      <c r="G93">
        <v>5.5332509999999999</v>
      </c>
      <c r="H93" t="s">
        <v>35</v>
      </c>
    </row>
    <row r="94" spans="1:8" x14ac:dyDescent="0.2">
      <c r="A94" t="s">
        <v>640</v>
      </c>
      <c r="B94" t="s">
        <v>30</v>
      </c>
      <c r="C94" t="s">
        <v>31</v>
      </c>
      <c r="D94" t="s">
        <v>32</v>
      </c>
      <c r="E94" t="s">
        <v>33</v>
      </c>
      <c r="F94" t="s">
        <v>127</v>
      </c>
      <c r="G94">
        <v>5.5372320000000004</v>
      </c>
      <c r="H94" t="s">
        <v>35</v>
      </c>
    </row>
    <row r="95" spans="1:8" x14ac:dyDescent="0.2">
      <c r="A95" t="s">
        <v>640</v>
      </c>
      <c r="B95" t="s">
        <v>30</v>
      </c>
      <c r="C95" t="s">
        <v>31</v>
      </c>
      <c r="D95" t="s">
        <v>32</v>
      </c>
      <c r="E95" t="s">
        <v>33</v>
      </c>
      <c r="F95" t="s">
        <v>128</v>
      </c>
      <c r="G95">
        <v>5.6168469999999999</v>
      </c>
      <c r="H95" t="s">
        <v>35</v>
      </c>
    </row>
    <row r="96" spans="1:8" x14ac:dyDescent="0.2">
      <c r="A96" t="s">
        <v>640</v>
      </c>
      <c r="B96" t="s">
        <v>30</v>
      </c>
      <c r="C96" t="s">
        <v>31</v>
      </c>
      <c r="D96" t="s">
        <v>32</v>
      </c>
      <c r="E96" t="s">
        <v>33</v>
      </c>
      <c r="F96" t="s">
        <v>129</v>
      </c>
      <c r="G96">
        <v>5.5969429999999996</v>
      </c>
      <c r="H96" t="s">
        <v>35</v>
      </c>
    </row>
    <row r="97" spans="1:8" x14ac:dyDescent="0.2">
      <c r="A97" t="s">
        <v>640</v>
      </c>
      <c r="B97" t="s">
        <v>30</v>
      </c>
      <c r="C97" t="s">
        <v>31</v>
      </c>
      <c r="D97" t="s">
        <v>32</v>
      </c>
      <c r="E97" t="s">
        <v>33</v>
      </c>
      <c r="F97" t="s">
        <v>130</v>
      </c>
      <c r="G97">
        <v>5.7143759999999997</v>
      </c>
      <c r="H97" t="s">
        <v>35</v>
      </c>
    </row>
    <row r="98" spans="1:8" x14ac:dyDescent="0.2">
      <c r="A98" t="s">
        <v>640</v>
      </c>
      <c r="B98" t="s">
        <v>30</v>
      </c>
      <c r="C98" t="s">
        <v>31</v>
      </c>
      <c r="D98" t="s">
        <v>32</v>
      </c>
      <c r="E98" t="s">
        <v>33</v>
      </c>
      <c r="F98" t="s">
        <v>131</v>
      </c>
      <c r="G98">
        <v>5.7820489999999998</v>
      </c>
      <c r="H98" t="s">
        <v>35</v>
      </c>
    </row>
    <row r="99" spans="1:8" x14ac:dyDescent="0.2">
      <c r="A99" t="s">
        <v>640</v>
      </c>
      <c r="B99" t="s">
        <v>30</v>
      </c>
      <c r="C99" t="s">
        <v>31</v>
      </c>
      <c r="D99" t="s">
        <v>32</v>
      </c>
      <c r="E99" t="s">
        <v>33</v>
      </c>
      <c r="F99" t="s">
        <v>132</v>
      </c>
      <c r="G99">
        <v>5.8964949999999998</v>
      </c>
      <c r="H99" t="s">
        <v>35</v>
      </c>
    </row>
    <row r="100" spans="1:8" x14ac:dyDescent="0.2">
      <c r="A100" t="s">
        <v>640</v>
      </c>
      <c r="B100" t="s">
        <v>30</v>
      </c>
      <c r="C100" t="s">
        <v>31</v>
      </c>
      <c r="D100" t="s">
        <v>32</v>
      </c>
      <c r="E100" t="s">
        <v>33</v>
      </c>
      <c r="F100" t="s">
        <v>133</v>
      </c>
      <c r="G100">
        <v>6.039803</v>
      </c>
      <c r="H100" t="s">
        <v>35</v>
      </c>
    </row>
    <row r="101" spans="1:8" x14ac:dyDescent="0.2">
      <c r="A101" t="s">
        <v>640</v>
      </c>
      <c r="B101" t="s">
        <v>30</v>
      </c>
      <c r="C101" t="s">
        <v>31</v>
      </c>
      <c r="D101" t="s">
        <v>32</v>
      </c>
      <c r="E101" t="s">
        <v>33</v>
      </c>
      <c r="F101" t="s">
        <v>134</v>
      </c>
      <c r="G101">
        <v>6.0557259999999999</v>
      </c>
      <c r="H101" t="s">
        <v>35</v>
      </c>
    </row>
    <row r="102" spans="1:8" x14ac:dyDescent="0.2">
      <c r="A102" t="s">
        <v>640</v>
      </c>
      <c r="B102" t="s">
        <v>30</v>
      </c>
      <c r="C102" t="s">
        <v>31</v>
      </c>
      <c r="D102" t="s">
        <v>32</v>
      </c>
      <c r="E102" t="s">
        <v>33</v>
      </c>
      <c r="F102" t="s">
        <v>135</v>
      </c>
      <c r="G102">
        <v>6.1104609999999999</v>
      </c>
      <c r="H102" t="s">
        <v>35</v>
      </c>
    </row>
    <row r="103" spans="1:8" x14ac:dyDescent="0.2">
      <c r="A103" t="s">
        <v>640</v>
      </c>
      <c r="B103" t="s">
        <v>30</v>
      </c>
      <c r="C103" t="s">
        <v>31</v>
      </c>
      <c r="D103" t="s">
        <v>32</v>
      </c>
      <c r="E103" t="s">
        <v>33</v>
      </c>
      <c r="F103" t="s">
        <v>136</v>
      </c>
      <c r="G103">
        <v>6.4856470000000002</v>
      </c>
      <c r="H103" t="s">
        <v>35</v>
      </c>
    </row>
    <row r="104" spans="1:8" x14ac:dyDescent="0.2">
      <c r="A104" t="s">
        <v>640</v>
      </c>
      <c r="B104" t="s">
        <v>30</v>
      </c>
      <c r="C104" t="s">
        <v>31</v>
      </c>
      <c r="D104" t="s">
        <v>32</v>
      </c>
      <c r="E104" t="s">
        <v>33</v>
      </c>
      <c r="F104" t="s">
        <v>137</v>
      </c>
      <c r="G104">
        <v>6.5563060000000002</v>
      </c>
      <c r="H104" t="s">
        <v>35</v>
      </c>
    </row>
    <row r="105" spans="1:8" x14ac:dyDescent="0.2">
      <c r="A105" t="s">
        <v>640</v>
      </c>
      <c r="B105" t="s">
        <v>30</v>
      </c>
      <c r="C105" t="s">
        <v>31</v>
      </c>
      <c r="D105" t="s">
        <v>32</v>
      </c>
      <c r="E105" t="s">
        <v>33</v>
      </c>
      <c r="F105" t="s">
        <v>138</v>
      </c>
      <c r="G105">
        <v>6.5612820000000003</v>
      </c>
      <c r="H105" t="s">
        <v>35</v>
      </c>
    </row>
    <row r="106" spans="1:8" x14ac:dyDescent="0.2">
      <c r="A106" t="s">
        <v>640</v>
      </c>
      <c r="B106" t="s">
        <v>30</v>
      </c>
      <c r="C106" t="s">
        <v>31</v>
      </c>
      <c r="D106" t="s">
        <v>32</v>
      </c>
      <c r="E106" t="s">
        <v>33</v>
      </c>
      <c r="F106" t="s">
        <v>139</v>
      </c>
      <c r="G106">
        <v>6.6856799999999996</v>
      </c>
      <c r="H106" t="s">
        <v>35</v>
      </c>
    </row>
    <row r="107" spans="1:8" x14ac:dyDescent="0.2">
      <c r="A107" t="s">
        <v>640</v>
      </c>
      <c r="B107" t="s">
        <v>30</v>
      </c>
      <c r="C107" t="s">
        <v>31</v>
      </c>
      <c r="D107" t="s">
        <v>32</v>
      </c>
      <c r="E107" t="s">
        <v>33</v>
      </c>
      <c r="F107" t="s">
        <v>140</v>
      </c>
      <c r="G107">
        <v>6.7603200000000001</v>
      </c>
      <c r="H107" t="s">
        <v>35</v>
      </c>
    </row>
    <row r="108" spans="1:8" x14ac:dyDescent="0.2">
      <c r="A108" t="s">
        <v>640</v>
      </c>
      <c r="B108" t="s">
        <v>30</v>
      </c>
      <c r="C108" t="s">
        <v>31</v>
      </c>
      <c r="D108" t="s">
        <v>32</v>
      </c>
      <c r="E108" t="s">
        <v>33</v>
      </c>
      <c r="F108" t="s">
        <v>141</v>
      </c>
      <c r="G108">
        <v>6.8558579999999996</v>
      </c>
      <c r="H108" t="s">
        <v>35</v>
      </c>
    </row>
    <row r="109" spans="1:8" x14ac:dyDescent="0.2">
      <c r="A109" t="s">
        <v>640</v>
      </c>
      <c r="B109" t="s">
        <v>30</v>
      </c>
      <c r="C109" t="s">
        <v>31</v>
      </c>
      <c r="D109" t="s">
        <v>32</v>
      </c>
      <c r="E109" t="s">
        <v>33</v>
      </c>
      <c r="F109" t="s">
        <v>142</v>
      </c>
      <c r="G109">
        <v>7.0638519999999998</v>
      </c>
      <c r="H109" t="s">
        <v>35</v>
      </c>
    </row>
    <row r="110" spans="1:8" x14ac:dyDescent="0.2">
      <c r="A110" t="s">
        <v>640</v>
      </c>
      <c r="B110" t="s">
        <v>30</v>
      </c>
      <c r="C110" t="s">
        <v>31</v>
      </c>
      <c r="D110" t="s">
        <v>32</v>
      </c>
      <c r="E110" t="s">
        <v>33</v>
      </c>
      <c r="F110" t="s">
        <v>143</v>
      </c>
      <c r="G110">
        <v>7.1454579999999996</v>
      </c>
      <c r="H110" t="s">
        <v>35</v>
      </c>
    </row>
    <row r="111" spans="1:8" x14ac:dyDescent="0.2">
      <c r="A111" t="s">
        <v>640</v>
      </c>
      <c r="B111" t="s">
        <v>30</v>
      </c>
      <c r="C111" t="s">
        <v>31</v>
      </c>
      <c r="D111" t="s">
        <v>32</v>
      </c>
      <c r="E111" t="s">
        <v>33</v>
      </c>
      <c r="F111" t="s">
        <v>144</v>
      </c>
      <c r="G111">
        <v>7.274832</v>
      </c>
      <c r="H111" t="s">
        <v>35</v>
      </c>
    </row>
    <row r="112" spans="1:8" x14ac:dyDescent="0.2">
      <c r="A112" t="s">
        <v>640</v>
      </c>
      <c r="B112" t="s">
        <v>30</v>
      </c>
      <c r="C112" t="s">
        <v>31</v>
      </c>
      <c r="D112" t="s">
        <v>32</v>
      </c>
      <c r="E112" t="s">
        <v>33</v>
      </c>
      <c r="F112" t="s">
        <v>145</v>
      </c>
      <c r="G112">
        <v>7.3325529999999999</v>
      </c>
      <c r="H112" t="s">
        <v>35</v>
      </c>
    </row>
    <row r="113" spans="1:8" x14ac:dyDescent="0.2">
      <c r="A113" t="s">
        <v>640</v>
      </c>
      <c r="B113" t="s">
        <v>30</v>
      </c>
      <c r="C113" t="s">
        <v>31</v>
      </c>
      <c r="D113" t="s">
        <v>32</v>
      </c>
      <c r="E113" t="s">
        <v>33</v>
      </c>
      <c r="F113" t="s">
        <v>146</v>
      </c>
      <c r="G113">
        <v>7.4559559999999996</v>
      </c>
      <c r="H113" t="s">
        <v>35</v>
      </c>
    </row>
    <row r="114" spans="1:8" x14ac:dyDescent="0.2">
      <c r="A114" t="s">
        <v>640</v>
      </c>
      <c r="B114" t="s">
        <v>30</v>
      </c>
      <c r="C114" t="s">
        <v>31</v>
      </c>
      <c r="D114" t="s">
        <v>32</v>
      </c>
      <c r="E114" t="s">
        <v>33</v>
      </c>
      <c r="F114" t="s">
        <v>147</v>
      </c>
      <c r="G114">
        <v>7.5753789999999999</v>
      </c>
      <c r="H114" t="s">
        <v>35</v>
      </c>
    </row>
    <row r="115" spans="1:8" x14ac:dyDescent="0.2">
      <c r="A115" t="s">
        <v>640</v>
      </c>
      <c r="B115" t="s">
        <v>30</v>
      </c>
      <c r="C115" t="s">
        <v>31</v>
      </c>
      <c r="D115" t="s">
        <v>32</v>
      </c>
      <c r="E115" t="s">
        <v>33</v>
      </c>
      <c r="F115" t="s">
        <v>148</v>
      </c>
      <c r="G115">
        <v>7.7923309999999999</v>
      </c>
      <c r="H115" t="s">
        <v>35</v>
      </c>
    </row>
    <row r="116" spans="1:8" x14ac:dyDescent="0.2">
      <c r="A116" t="s">
        <v>640</v>
      </c>
      <c r="B116" t="s">
        <v>30</v>
      </c>
      <c r="C116" t="s">
        <v>31</v>
      </c>
      <c r="D116" t="s">
        <v>32</v>
      </c>
      <c r="E116" t="s">
        <v>33</v>
      </c>
      <c r="F116" t="s">
        <v>149</v>
      </c>
      <c r="G116">
        <v>8.0192340000000009</v>
      </c>
      <c r="H116" t="s">
        <v>35</v>
      </c>
    </row>
    <row r="117" spans="1:8" x14ac:dyDescent="0.2">
      <c r="A117" t="s">
        <v>640</v>
      </c>
      <c r="B117" t="s">
        <v>30</v>
      </c>
      <c r="C117" t="s">
        <v>31</v>
      </c>
      <c r="D117" t="s">
        <v>32</v>
      </c>
      <c r="E117" t="s">
        <v>33</v>
      </c>
      <c r="F117" t="s">
        <v>150</v>
      </c>
      <c r="G117">
        <v>8.0421230000000001</v>
      </c>
      <c r="H117" t="s">
        <v>35</v>
      </c>
    </row>
    <row r="118" spans="1:8" x14ac:dyDescent="0.2">
      <c r="A118" t="s">
        <v>640</v>
      </c>
      <c r="B118" t="s">
        <v>30</v>
      </c>
      <c r="C118" t="s">
        <v>31</v>
      </c>
      <c r="D118" t="s">
        <v>32</v>
      </c>
      <c r="E118" t="s">
        <v>33</v>
      </c>
      <c r="F118" t="s">
        <v>151</v>
      </c>
      <c r="G118">
        <v>8.0650119999999994</v>
      </c>
      <c r="H118" t="s">
        <v>35</v>
      </c>
    </row>
    <row r="119" spans="1:8" x14ac:dyDescent="0.2">
      <c r="A119" t="s">
        <v>640</v>
      </c>
      <c r="B119" t="s">
        <v>30</v>
      </c>
      <c r="C119" t="s">
        <v>31</v>
      </c>
      <c r="D119" t="s">
        <v>32</v>
      </c>
      <c r="E119" t="s">
        <v>33</v>
      </c>
      <c r="F119" t="s">
        <v>152</v>
      </c>
      <c r="G119">
        <v>8.2361850000000008</v>
      </c>
      <c r="H119" t="s">
        <v>35</v>
      </c>
    </row>
    <row r="120" spans="1:8" x14ac:dyDescent="0.2">
      <c r="A120" t="s">
        <v>640</v>
      </c>
      <c r="B120" t="s">
        <v>30</v>
      </c>
      <c r="C120" t="s">
        <v>31</v>
      </c>
      <c r="D120" t="s">
        <v>32</v>
      </c>
      <c r="E120" t="s">
        <v>33</v>
      </c>
      <c r="F120" t="s">
        <v>153</v>
      </c>
      <c r="G120">
        <v>8.4173100000000005</v>
      </c>
      <c r="H120" t="s">
        <v>35</v>
      </c>
    </row>
    <row r="121" spans="1:8" x14ac:dyDescent="0.2">
      <c r="A121" t="s">
        <v>640</v>
      </c>
      <c r="B121" t="s">
        <v>30</v>
      </c>
      <c r="C121" t="s">
        <v>31</v>
      </c>
      <c r="D121" t="s">
        <v>32</v>
      </c>
      <c r="E121" t="s">
        <v>33</v>
      </c>
      <c r="F121" t="s">
        <v>154</v>
      </c>
      <c r="G121">
        <v>8.598433</v>
      </c>
      <c r="H121" t="s">
        <v>35</v>
      </c>
    </row>
    <row r="122" spans="1:8" x14ac:dyDescent="0.2">
      <c r="A122" t="s">
        <v>640</v>
      </c>
      <c r="B122" t="s">
        <v>30</v>
      </c>
      <c r="C122" t="s">
        <v>31</v>
      </c>
      <c r="D122" t="s">
        <v>32</v>
      </c>
      <c r="E122" t="s">
        <v>33</v>
      </c>
      <c r="F122" t="s">
        <v>155</v>
      </c>
      <c r="G122">
        <v>8.6889959999999995</v>
      </c>
      <c r="H122" t="s">
        <v>35</v>
      </c>
    </row>
    <row r="123" spans="1:8" x14ac:dyDescent="0.2">
      <c r="A123" t="s">
        <v>640</v>
      </c>
      <c r="B123" t="s">
        <v>30</v>
      </c>
      <c r="C123" t="s">
        <v>31</v>
      </c>
      <c r="D123" t="s">
        <v>32</v>
      </c>
      <c r="E123" t="s">
        <v>33</v>
      </c>
      <c r="F123" t="s">
        <v>156</v>
      </c>
      <c r="G123">
        <v>8.8024470000000008</v>
      </c>
      <c r="H123" t="s">
        <v>35</v>
      </c>
    </row>
    <row r="124" spans="1:8" x14ac:dyDescent="0.2">
      <c r="A124" t="s">
        <v>640</v>
      </c>
      <c r="B124" t="s">
        <v>30</v>
      </c>
      <c r="C124" t="s">
        <v>31</v>
      </c>
      <c r="D124" t="s">
        <v>32</v>
      </c>
      <c r="E124" t="s">
        <v>33</v>
      </c>
      <c r="F124" t="s">
        <v>157</v>
      </c>
      <c r="G124">
        <v>8.8840529999999998</v>
      </c>
      <c r="H124" t="s">
        <v>35</v>
      </c>
    </row>
    <row r="125" spans="1:8" x14ac:dyDescent="0.2">
      <c r="A125" t="s">
        <v>640</v>
      </c>
      <c r="B125" t="s">
        <v>30</v>
      </c>
      <c r="C125" t="s">
        <v>31</v>
      </c>
      <c r="D125" t="s">
        <v>32</v>
      </c>
      <c r="E125" t="s">
        <v>33</v>
      </c>
      <c r="F125" t="s">
        <v>158</v>
      </c>
      <c r="G125">
        <v>9.0492539999999995</v>
      </c>
      <c r="H125" t="s">
        <v>35</v>
      </c>
    </row>
    <row r="126" spans="1:8" x14ac:dyDescent="0.2">
      <c r="A126" t="s">
        <v>640</v>
      </c>
      <c r="B126" t="s">
        <v>30</v>
      </c>
      <c r="C126" t="s">
        <v>31</v>
      </c>
      <c r="D126" t="s">
        <v>32</v>
      </c>
      <c r="E126" t="s">
        <v>33</v>
      </c>
      <c r="F126" t="s">
        <v>159</v>
      </c>
      <c r="G126">
        <v>9.1646970000000003</v>
      </c>
      <c r="H126" t="s">
        <v>35</v>
      </c>
    </row>
    <row r="127" spans="1:8" x14ac:dyDescent="0.2">
      <c r="A127" t="s">
        <v>640</v>
      </c>
      <c r="B127" t="s">
        <v>30</v>
      </c>
      <c r="C127" t="s">
        <v>31</v>
      </c>
      <c r="D127" t="s">
        <v>32</v>
      </c>
      <c r="E127" t="s">
        <v>33</v>
      </c>
      <c r="F127" t="s">
        <v>160</v>
      </c>
      <c r="G127">
        <v>9.2263979999999997</v>
      </c>
      <c r="H127" t="s">
        <v>35</v>
      </c>
    </row>
    <row r="128" spans="1:8" x14ac:dyDescent="0.2">
      <c r="A128" t="s">
        <v>640</v>
      </c>
      <c r="B128" t="s">
        <v>30</v>
      </c>
      <c r="C128" t="s">
        <v>31</v>
      </c>
      <c r="D128" t="s">
        <v>32</v>
      </c>
      <c r="E128" t="s">
        <v>33</v>
      </c>
      <c r="F128" t="s">
        <v>161</v>
      </c>
      <c r="G128">
        <v>9.2164459999999995</v>
      </c>
      <c r="H128" t="s">
        <v>35</v>
      </c>
    </row>
    <row r="129" spans="1:8" x14ac:dyDescent="0.2">
      <c r="A129" t="s">
        <v>640</v>
      </c>
      <c r="B129" t="s">
        <v>30</v>
      </c>
      <c r="C129" t="s">
        <v>31</v>
      </c>
      <c r="D129" t="s">
        <v>32</v>
      </c>
      <c r="E129" t="s">
        <v>33</v>
      </c>
      <c r="F129" t="s">
        <v>162</v>
      </c>
      <c r="G129">
        <v>9.3129799999999996</v>
      </c>
      <c r="H129" t="s">
        <v>35</v>
      </c>
    </row>
    <row r="130" spans="1:8" x14ac:dyDescent="0.2">
      <c r="A130" t="s">
        <v>640</v>
      </c>
      <c r="B130" t="s">
        <v>30</v>
      </c>
      <c r="C130" t="s">
        <v>31</v>
      </c>
      <c r="D130" t="s">
        <v>32</v>
      </c>
      <c r="E130" t="s">
        <v>33</v>
      </c>
      <c r="F130" t="s">
        <v>163</v>
      </c>
      <c r="G130">
        <v>9.4025470000000002</v>
      </c>
      <c r="H130" t="s">
        <v>35</v>
      </c>
    </row>
    <row r="131" spans="1:8" x14ac:dyDescent="0.2">
      <c r="A131" t="s">
        <v>640</v>
      </c>
      <c r="B131" t="s">
        <v>30</v>
      </c>
      <c r="C131" t="s">
        <v>31</v>
      </c>
      <c r="D131" t="s">
        <v>32</v>
      </c>
      <c r="E131" t="s">
        <v>33</v>
      </c>
      <c r="F131" t="s">
        <v>164</v>
      </c>
      <c r="G131">
        <v>9.4921129999999998</v>
      </c>
      <c r="H131" t="s">
        <v>35</v>
      </c>
    </row>
    <row r="132" spans="1:8" x14ac:dyDescent="0.2">
      <c r="A132" t="s">
        <v>640</v>
      </c>
      <c r="B132" t="s">
        <v>30</v>
      </c>
      <c r="C132" t="s">
        <v>31</v>
      </c>
      <c r="D132" t="s">
        <v>32</v>
      </c>
      <c r="E132" t="s">
        <v>33</v>
      </c>
      <c r="F132" t="s">
        <v>165</v>
      </c>
      <c r="G132">
        <v>9.5080369999999998</v>
      </c>
      <c r="H132" t="s">
        <v>35</v>
      </c>
    </row>
    <row r="133" spans="1:8" x14ac:dyDescent="0.2">
      <c r="A133" t="s">
        <v>640</v>
      </c>
      <c r="B133" t="s">
        <v>30</v>
      </c>
      <c r="C133" t="s">
        <v>31</v>
      </c>
      <c r="D133" t="s">
        <v>32</v>
      </c>
      <c r="E133" t="s">
        <v>33</v>
      </c>
      <c r="F133" t="s">
        <v>166</v>
      </c>
      <c r="G133">
        <v>9.5946180000000005</v>
      </c>
      <c r="H133" t="s">
        <v>35</v>
      </c>
    </row>
    <row r="134" spans="1:8" x14ac:dyDescent="0.2">
      <c r="A134" t="s">
        <v>640</v>
      </c>
      <c r="B134" t="s">
        <v>30</v>
      </c>
      <c r="C134" t="s">
        <v>31</v>
      </c>
      <c r="D134" t="s">
        <v>32</v>
      </c>
      <c r="E134" t="s">
        <v>33</v>
      </c>
      <c r="F134" t="s">
        <v>167</v>
      </c>
      <c r="G134">
        <v>9.6533350000000002</v>
      </c>
      <c r="H134" t="s">
        <v>35</v>
      </c>
    </row>
    <row r="135" spans="1:8" x14ac:dyDescent="0.2">
      <c r="A135" t="s">
        <v>640</v>
      </c>
      <c r="B135" t="s">
        <v>30</v>
      </c>
      <c r="C135" t="s">
        <v>31</v>
      </c>
      <c r="D135" t="s">
        <v>32</v>
      </c>
      <c r="E135" t="s">
        <v>33</v>
      </c>
      <c r="F135" t="s">
        <v>168</v>
      </c>
      <c r="G135">
        <v>9.9170590000000001</v>
      </c>
      <c r="H135" t="s">
        <v>35</v>
      </c>
    </row>
    <row r="136" spans="1:8" x14ac:dyDescent="0.2">
      <c r="A136" t="s">
        <v>640</v>
      </c>
      <c r="B136" t="s">
        <v>30</v>
      </c>
      <c r="C136" t="s">
        <v>31</v>
      </c>
      <c r="D136" t="s">
        <v>32</v>
      </c>
      <c r="E136" t="s">
        <v>33</v>
      </c>
      <c r="F136" t="s">
        <v>169</v>
      </c>
      <c r="G136">
        <v>10.21462</v>
      </c>
      <c r="H136" t="s">
        <v>35</v>
      </c>
    </row>
    <row r="137" spans="1:8" x14ac:dyDescent="0.2">
      <c r="A137" t="s">
        <v>640</v>
      </c>
      <c r="B137" t="s">
        <v>30</v>
      </c>
      <c r="C137" t="s">
        <v>31</v>
      </c>
      <c r="D137" t="s">
        <v>32</v>
      </c>
      <c r="E137" t="s">
        <v>33</v>
      </c>
      <c r="F137" t="s">
        <v>170</v>
      </c>
      <c r="G137">
        <v>10.354939999999999</v>
      </c>
      <c r="H137" t="s">
        <v>35</v>
      </c>
    </row>
    <row r="138" spans="1:8" x14ac:dyDescent="0.2">
      <c r="A138" t="s">
        <v>640</v>
      </c>
      <c r="B138" t="s">
        <v>30</v>
      </c>
      <c r="C138" t="s">
        <v>31</v>
      </c>
      <c r="D138" t="s">
        <v>32</v>
      </c>
      <c r="E138" t="s">
        <v>33</v>
      </c>
      <c r="F138" t="s">
        <v>171</v>
      </c>
      <c r="G138">
        <v>10.483320000000001</v>
      </c>
      <c r="H138" t="s">
        <v>35</v>
      </c>
    </row>
    <row r="139" spans="1:8" x14ac:dyDescent="0.2">
      <c r="A139" t="s">
        <v>640</v>
      </c>
      <c r="B139" t="s">
        <v>30</v>
      </c>
      <c r="C139" t="s">
        <v>31</v>
      </c>
      <c r="D139" t="s">
        <v>32</v>
      </c>
      <c r="E139" t="s">
        <v>33</v>
      </c>
      <c r="F139" t="s">
        <v>172</v>
      </c>
      <c r="G139">
        <v>10.75103</v>
      </c>
      <c r="H139" t="s">
        <v>35</v>
      </c>
    </row>
    <row r="140" spans="1:8" x14ac:dyDescent="0.2">
      <c r="A140" t="s">
        <v>640</v>
      </c>
      <c r="B140" t="s">
        <v>30</v>
      </c>
      <c r="C140" t="s">
        <v>31</v>
      </c>
      <c r="D140" t="s">
        <v>32</v>
      </c>
      <c r="E140" t="s">
        <v>33</v>
      </c>
      <c r="F140" t="s">
        <v>173</v>
      </c>
      <c r="G140">
        <v>10.80775</v>
      </c>
      <c r="H140" t="s">
        <v>35</v>
      </c>
    </row>
    <row r="141" spans="1:8" x14ac:dyDescent="0.2">
      <c r="A141" t="s">
        <v>640</v>
      </c>
      <c r="B141" t="s">
        <v>30</v>
      </c>
      <c r="C141" t="s">
        <v>31</v>
      </c>
      <c r="D141" t="s">
        <v>32</v>
      </c>
      <c r="E141" t="s">
        <v>33</v>
      </c>
      <c r="F141" t="s">
        <v>174</v>
      </c>
      <c r="G141">
        <v>10.882389999999999</v>
      </c>
      <c r="H141" t="s">
        <v>35</v>
      </c>
    </row>
    <row r="142" spans="1:8" x14ac:dyDescent="0.2">
      <c r="A142" t="s">
        <v>640</v>
      </c>
      <c r="B142" t="s">
        <v>30</v>
      </c>
      <c r="C142" t="s">
        <v>31</v>
      </c>
      <c r="D142" t="s">
        <v>32</v>
      </c>
      <c r="E142" t="s">
        <v>33</v>
      </c>
      <c r="F142" t="s">
        <v>175</v>
      </c>
      <c r="G142">
        <v>11.16901</v>
      </c>
      <c r="H142" t="s">
        <v>35</v>
      </c>
    </row>
    <row r="143" spans="1:8" x14ac:dyDescent="0.2">
      <c r="A143" t="s">
        <v>640</v>
      </c>
      <c r="B143" t="s">
        <v>30</v>
      </c>
      <c r="C143" t="s">
        <v>31</v>
      </c>
      <c r="D143" t="s">
        <v>32</v>
      </c>
      <c r="E143" t="s">
        <v>33</v>
      </c>
      <c r="F143" t="s">
        <v>176</v>
      </c>
      <c r="G143">
        <v>11.460599999999999</v>
      </c>
      <c r="H143" t="s">
        <v>35</v>
      </c>
    </row>
    <row r="144" spans="1:8" x14ac:dyDescent="0.2">
      <c r="A144" t="s">
        <v>640</v>
      </c>
      <c r="B144" t="s">
        <v>30</v>
      </c>
      <c r="C144" t="s">
        <v>31</v>
      </c>
      <c r="D144" t="s">
        <v>32</v>
      </c>
      <c r="E144" t="s">
        <v>33</v>
      </c>
      <c r="F144" t="s">
        <v>177</v>
      </c>
      <c r="G144">
        <v>11.63575</v>
      </c>
      <c r="H144" t="s">
        <v>35</v>
      </c>
    </row>
    <row r="145" spans="1:8" x14ac:dyDescent="0.2">
      <c r="A145" t="s">
        <v>640</v>
      </c>
      <c r="B145" t="s">
        <v>30</v>
      </c>
      <c r="C145" t="s">
        <v>31</v>
      </c>
      <c r="D145" t="s">
        <v>32</v>
      </c>
      <c r="E145" t="s">
        <v>33</v>
      </c>
      <c r="F145" t="s">
        <v>178</v>
      </c>
      <c r="G145">
        <v>11.831799999999999</v>
      </c>
      <c r="H145" t="s">
        <v>35</v>
      </c>
    </row>
    <row r="146" spans="1:8" x14ac:dyDescent="0.2">
      <c r="A146" t="s">
        <v>640</v>
      </c>
      <c r="B146" t="s">
        <v>30</v>
      </c>
      <c r="C146" t="s">
        <v>31</v>
      </c>
      <c r="D146" t="s">
        <v>32</v>
      </c>
      <c r="E146" t="s">
        <v>33</v>
      </c>
      <c r="F146" t="s">
        <v>179</v>
      </c>
      <c r="G146">
        <v>11.970129999999999</v>
      </c>
      <c r="H146" t="s">
        <v>35</v>
      </c>
    </row>
    <row r="147" spans="1:8" x14ac:dyDescent="0.2">
      <c r="A147" t="s">
        <v>640</v>
      </c>
      <c r="B147" t="s">
        <v>30</v>
      </c>
      <c r="C147" t="s">
        <v>31</v>
      </c>
      <c r="D147" t="s">
        <v>32</v>
      </c>
      <c r="E147" t="s">
        <v>33</v>
      </c>
      <c r="F147" t="s">
        <v>180</v>
      </c>
      <c r="G147">
        <v>12.26571</v>
      </c>
      <c r="H147" t="s">
        <v>35</v>
      </c>
    </row>
    <row r="148" spans="1:8" x14ac:dyDescent="0.2">
      <c r="A148" t="s">
        <v>640</v>
      </c>
      <c r="B148" t="s">
        <v>30</v>
      </c>
      <c r="C148" t="s">
        <v>31</v>
      </c>
      <c r="D148" t="s">
        <v>32</v>
      </c>
      <c r="E148" t="s">
        <v>33</v>
      </c>
      <c r="F148" t="s">
        <v>181</v>
      </c>
      <c r="G148">
        <v>12.50853</v>
      </c>
      <c r="H148" t="s">
        <v>35</v>
      </c>
    </row>
    <row r="149" spans="1:8" x14ac:dyDescent="0.2">
      <c r="A149" t="s">
        <v>640</v>
      </c>
      <c r="B149" t="s">
        <v>30</v>
      </c>
      <c r="C149" t="s">
        <v>31</v>
      </c>
      <c r="D149" t="s">
        <v>32</v>
      </c>
      <c r="E149" t="s">
        <v>33</v>
      </c>
      <c r="F149" t="s">
        <v>182</v>
      </c>
      <c r="G149">
        <v>12.85187</v>
      </c>
      <c r="H149" t="s">
        <v>35</v>
      </c>
    </row>
    <row r="150" spans="1:8" x14ac:dyDescent="0.2">
      <c r="A150" t="s">
        <v>640</v>
      </c>
      <c r="B150" t="s">
        <v>30</v>
      </c>
      <c r="C150" t="s">
        <v>31</v>
      </c>
      <c r="D150" t="s">
        <v>32</v>
      </c>
      <c r="E150" t="s">
        <v>33</v>
      </c>
      <c r="F150" t="s">
        <v>183</v>
      </c>
      <c r="G150">
        <v>13.168340000000001</v>
      </c>
      <c r="H150" t="s">
        <v>35</v>
      </c>
    </row>
    <row r="151" spans="1:8" x14ac:dyDescent="0.2">
      <c r="A151" t="s">
        <v>640</v>
      </c>
      <c r="B151" t="s">
        <v>30</v>
      </c>
      <c r="C151" t="s">
        <v>31</v>
      </c>
      <c r="D151" t="s">
        <v>32</v>
      </c>
      <c r="E151" t="s">
        <v>33</v>
      </c>
      <c r="F151" t="s">
        <v>184</v>
      </c>
      <c r="G151">
        <v>13.409179999999999</v>
      </c>
      <c r="H151" t="s">
        <v>35</v>
      </c>
    </row>
    <row r="152" spans="1:8" x14ac:dyDescent="0.2">
      <c r="A152" t="s">
        <v>640</v>
      </c>
      <c r="B152" t="s">
        <v>30</v>
      </c>
      <c r="C152" t="s">
        <v>31</v>
      </c>
      <c r="D152" t="s">
        <v>32</v>
      </c>
      <c r="E152" t="s">
        <v>33</v>
      </c>
      <c r="F152" t="s">
        <v>185</v>
      </c>
      <c r="G152">
        <v>13.42013</v>
      </c>
      <c r="H152" t="s">
        <v>35</v>
      </c>
    </row>
    <row r="153" spans="1:8" x14ac:dyDescent="0.2">
      <c r="A153" t="s">
        <v>640</v>
      </c>
      <c r="B153" t="s">
        <v>30</v>
      </c>
      <c r="C153" t="s">
        <v>31</v>
      </c>
      <c r="D153" t="s">
        <v>32</v>
      </c>
      <c r="E153" t="s">
        <v>33</v>
      </c>
      <c r="F153" t="s">
        <v>186</v>
      </c>
      <c r="G153">
        <v>13.552490000000001</v>
      </c>
      <c r="H153" t="s">
        <v>35</v>
      </c>
    </row>
    <row r="154" spans="1:8" x14ac:dyDescent="0.2">
      <c r="A154" t="s">
        <v>640</v>
      </c>
      <c r="B154" t="s">
        <v>30</v>
      </c>
      <c r="C154" t="s">
        <v>31</v>
      </c>
      <c r="D154" t="s">
        <v>32</v>
      </c>
      <c r="E154" t="s">
        <v>33</v>
      </c>
      <c r="F154" t="s">
        <v>187</v>
      </c>
      <c r="G154">
        <v>13.538550000000001</v>
      </c>
      <c r="H154" t="s">
        <v>35</v>
      </c>
    </row>
    <row r="155" spans="1:8" x14ac:dyDescent="0.2">
      <c r="A155" t="s">
        <v>640</v>
      </c>
      <c r="B155" t="s">
        <v>30</v>
      </c>
      <c r="C155" t="s">
        <v>31</v>
      </c>
      <c r="D155" t="s">
        <v>32</v>
      </c>
      <c r="E155" t="s">
        <v>33</v>
      </c>
      <c r="F155" t="s">
        <v>188</v>
      </c>
      <c r="G155">
        <v>13.76844</v>
      </c>
      <c r="H155" t="s">
        <v>35</v>
      </c>
    </row>
    <row r="156" spans="1:8" x14ac:dyDescent="0.2">
      <c r="A156" t="s">
        <v>640</v>
      </c>
      <c r="B156" t="s">
        <v>30</v>
      </c>
      <c r="C156" t="s">
        <v>31</v>
      </c>
      <c r="D156" t="s">
        <v>32</v>
      </c>
      <c r="E156" t="s">
        <v>33</v>
      </c>
      <c r="F156" t="s">
        <v>189</v>
      </c>
      <c r="G156">
        <v>13.94459</v>
      </c>
      <c r="H156" t="s">
        <v>35</v>
      </c>
    </row>
    <row r="157" spans="1:8" x14ac:dyDescent="0.2">
      <c r="A157" t="s">
        <v>640</v>
      </c>
      <c r="B157" t="s">
        <v>30</v>
      </c>
      <c r="C157" t="s">
        <v>31</v>
      </c>
      <c r="D157" t="s">
        <v>32</v>
      </c>
      <c r="E157" t="s">
        <v>33</v>
      </c>
      <c r="F157" t="s">
        <v>190</v>
      </c>
      <c r="G157">
        <v>14.02819</v>
      </c>
      <c r="H157" t="s">
        <v>35</v>
      </c>
    </row>
    <row r="158" spans="1:8" x14ac:dyDescent="0.2">
      <c r="A158" t="s">
        <v>640</v>
      </c>
      <c r="B158" t="s">
        <v>30</v>
      </c>
      <c r="C158" t="s">
        <v>31</v>
      </c>
      <c r="D158" t="s">
        <v>32</v>
      </c>
      <c r="E158" t="s">
        <v>33</v>
      </c>
      <c r="F158" t="s">
        <v>191</v>
      </c>
      <c r="G158">
        <v>14.14363</v>
      </c>
      <c r="H158" t="s">
        <v>35</v>
      </c>
    </row>
    <row r="159" spans="1:8" x14ac:dyDescent="0.2">
      <c r="A159" t="s">
        <v>640</v>
      </c>
      <c r="B159" t="s">
        <v>30</v>
      </c>
      <c r="C159" t="s">
        <v>31</v>
      </c>
      <c r="D159" t="s">
        <v>32</v>
      </c>
      <c r="E159" t="s">
        <v>33</v>
      </c>
      <c r="F159" t="s">
        <v>192</v>
      </c>
      <c r="G159">
        <v>14.505879999999999</v>
      </c>
      <c r="H159" t="s">
        <v>35</v>
      </c>
    </row>
    <row r="160" spans="1:8" x14ac:dyDescent="0.2">
      <c r="A160" t="s">
        <v>640</v>
      </c>
      <c r="B160" t="s">
        <v>30</v>
      </c>
      <c r="C160" t="s">
        <v>31</v>
      </c>
      <c r="D160" t="s">
        <v>32</v>
      </c>
      <c r="E160" t="s">
        <v>33</v>
      </c>
      <c r="F160" t="s">
        <v>193</v>
      </c>
      <c r="G160">
        <v>15.07512</v>
      </c>
      <c r="H160" t="s">
        <v>35</v>
      </c>
    </row>
    <row r="161" spans="1:8" x14ac:dyDescent="0.2">
      <c r="A161" t="s">
        <v>640</v>
      </c>
      <c r="B161" t="s">
        <v>30</v>
      </c>
      <c r="C161" t="s">
        <v>31</v>
      </c>
      <c r="D161" t="s">
        <v>32</v>
      </c>
      <c r="E161" t="s">
        <v>33</v>
      </c>
      <c r="F161" t="s">
        <v>194</v>
      </c>
      <c r="G161">
        <v>15.38264</v>
      </c>
      <c r="H161" t="s">
        <v>35</v>
      </c>
    </row>
    <row r="162" spans="1:8" x14ac:dyDescent="0.2">
      <c r="A162" t="s">
        <v>640</v>
      </c>
      <c r="B162" t="s">
        <v>30</v>
      </c>
      <c r="C162" t="s">
        <v>31</v>
      </c>
      <c r="D162" t="s">
        <v>32</v>
      </c>
      <c r="E162" t="s">
        <v>33</v>
      </c>
      <c r="F162" t="s">
        <v>195</v>
      </c>
      <c r="G162">
        <v>15.74091</v>
      </c>
      <c r="H162" t="s">
        <v>35</v>
      </c>
    </row>
    <row r="163" spans="1:8" x14ac:dyDescent="0.2">
      <c r="A163" t="s">
        <v>640</v>
      </c>
      <c r="B163" t="s">
        <v>30</v>
      </c>
      <c r="C163" t="s">
        <v>31</v>
      </c>
      <c r="D163" t="s">
        <v>32</v>
      </c>
      <c r="E163" t="s">
        <v>33</v>
      </c>
      <c r="F163" t="s">
        <v>196</v>
      </c>
      <c r="G163">
        <v>16.078279999999999</v>
      </c>
      <c r="H163" t="s">
        <v>35</v>
      </c>
    </row>
    <row r="164" spans="1:8" x14ac:dyDescent="0.2">
      <c r="A164" t="s">
        <v>640</v>
      </c>
      <c r="B164" t="s">
        <v>30</v>
      </c>
      <c r="C164" t="s">
        <v>31</v>
      </c>
      <c r="D164" t="s">
        <v>32</v>
      </c>
      <c r="E164" t="s">
        <v>33</v>
      </c>
      <c r="F164" t="s">
        <v>197</v>
      </c>
      <c r="G164">
        <v>16.049410000000002</v>
      </c>
      <c r="H164" t="s">
        <v>35</v>
      </c>
    </row>
    <row r="165" spans="1:8" x14ac:dyDescent="0.2">
      <c r="A165" t="s">
        <v>640</v>
      </c>
      <c r="B165" t="s">
        <v>30</v>
      </c>
      <c r="C165" t="s">
        <v>31</v>
      </c>
      <c r="D165" t="s">
        <v>32</v>
      </c>
      <c r="E165" t="s">
        <v>33</v>
      </c>
      <c r="F165" t="s">
        <v>198</v>
      </c>
      <c r="G165">
        <v>16.324090000000002</v>
      </c>
      <c r="H165" t="s">
        <v>35</v>
      </c>
    </row>
    <row r="166" spans="1:8" x14ac:dyDescent="0.2">
      <c r="A166" t="s">
        <v>640</v>
      </c>
      <c r="B166" t="s">
        <v>30</v>
      </c>
      <c r="C166" t="s">
        <v>31</v>
      </c>
      <c r="D166" t="s">
        <v>32</v>
      </c>
      <c r="E166" t="s">
        <v>33</v>
      </c>
      <c r="F166" t="s">
        <v>199</v>
      </c>
      <c r="G166">
        <v>16.661460000000002</v>
      </c>
      <c r="H166" t="s">
        <v>35</v>
      </c>
    </row>
    <row r="167" spans="1:8" x14ac:dyDescent="0.2">
      <c r="A167" t="s">
        <v>640</v>
      </c>
      <c r="B167" t="s">
        <v>30</v>
      </c>
      <c r="C167" t="s">
        <v>31</v>
      </c>
      <c r="D167" t="s">
        <v>32</v>
      </c>
      <c r="E167" t="s">
        <v>33</v>
      </c>
      <c r="F167" t="s">
        <v>200</v>
      </c>
      <c r="G167">
        <v>17.174969999999998</v>
      </c>
      <c r="H167" t="s">
        <v>35</v>
      </c>
    </row>
    <row r="168" spans="1:8" x14ac:dyDescent="0.2">
      <c r="A168" t="s">
        <v>640</v>
      </c>
      <c r="B168" t="s">
        <v>30</v>
      </c>
      <c r="C168" t="s">
        <v>31</v>
      </c>
      <c r="D168" t="s">
        <v>32</v>
      </c>
      <c r="E168" t="s">
        <v>33</v>
      </c>
      <c r="F168" t="s">
        <v>201</v>
      </c>
      <c r="G168">
        <v>17.74024</v>
      </c>
      <c r="H168" t="s">
        <v>35</v>
      </c>
    </row>
    <row r="169" spans="1:8" x14ac:dyDescent="0.2">
      <c r="A169" t="s">
        <v>640</v>
      </c>
      <c r="B169" t="s">
        <v>30</v>
      </c>
      <c r="C169" t="s">
        <v>31</v>
      </c>
      <c r="D169" t="s">
        <v>32</v>
      </c>
      <c r="E169" t="s">
        <v>33</v>
      </c>
      <c r="F169" t="s">
        <v>202</v>
      </c>
      <c r="G169">
        <v>18.058700000000002</v>
      </c>
      <c r="H169" t="s">
        <v>35</v>
      </c>
    </row>
    <row r="170" spans="1:8" x14ac:dyDescent="0.2">
      <c r="A170" t="s">
        <v>640</v>
      </c>
      <c r="B170" t="s">
        <v>30</v>
      </c>
      <c r="C170" t="s">
        <v>31</v>
      </c>
      <c r="D170" t="s">
        <v>32</v>
      </c>
      <c r="E170" t="s">
        <v>33</v>
      </c>
      <c r="F170" t="s">
        <v>203</v>
      </c>
      <c r="G170">
        <v>18.463740000000001</v>
      </c>
      <c r="H170" t="s">
        <v>35</v>
      </c>
    </row>
    <row r="171" spans="1:8" x14ac:dyDescent="0.2">
      <c r="A171" t="s">
        <v>640</v>
      </c>
      <c r="B171" t="s">
        <v>30</v>
      </c>
      <c r="C171" t="s">
        <v>31</v>
      </c>
      <c r="D171" t="s">
        <v>32</v>
      </c>
      <c r="E171" t="s">
        <v>33</v>
      </c>
      <c r="F171" t="s">
        <v>204</v>
      </c>
      <c r="G171">
        <v>19.176300000000001</v>
      </c>
      <c r="H171" t="s">
        <v>35</v>
      </c>
    </row>
    <row r="172" spans="1:8" x14ac:dyDescent="0.2">
      <c r="A172" t="s">
        <v>640</v>
      </c>
      <c r="B172" t="s">
        <v>30</v>
      </c>
      <c r="C172" t="s">
        <v>31</v>
      </c>
      <c r="D172" t="s">
        <v>32</v>
      </c>
      <c r="E172" t="s">
        <v>33</v>
      </c>
      <c r="F172" t="s">
        <v>205</v>
      </c>
      <c r="G172">
        <v>19.582339999999999</v>
      </c>
      <c r="H172" t="s">
        <v>35</v>
      </c>
    </row>
    <row r="173" spans="1:8" x14ac:dyDescent="0.2">
      <c r="A173" t="s">
        <v>640</v>
      </c>
      <c r="B173" t="s">
        <v>30</v>
      </c>
      <c r="C173" t="s">
        <v>31</v>
      </c>
      <c r="D173" t="s">
        <v>32</v>
      </c>
      <c r="E173" t="s">
        <v>33</v>
      </c>
      <c r="F173" t="s">
        <v>206</v>
      </c>
      <c r="G173">
        <v>19.890840000000001</v>
      </c>
      <c r="H173" t="s">
        <v>35</v>
      </c>
    </row>
    <row r="174" spans="1:8" x14ac:dyDescent="0.2">
      <c r="A174" t="s">
        <v>640</v>
      </c>
      <c r="B174" t="s">
        <v>30</v>
      </c>
      <c r="C174" t="s">
        <v>31</v>
      </c>
      <c r="D174" t="s">
        <v>32</v>
      </c>
      <c r="E174" t="s">
        <v>33</v>
      </c>
      <c r="F174" t="s">
        <v>207</v>
      </c>
      <c r="G174">
        <v>20.619319999999998</v>
      </c>
      <c r="H174" t="s">
        <v>35</v>
      </c>
    </row>
    <row r="175" spans="1:8" x14ac:dyDescent="0.2">
      <c r="A175" t="s">
        <v>640</v>
      </c>
      <c r="B175" t="s">
        <v>30</v>
      </c>
      <c r="C175" t="s">
        <v>31</v>
      </c>
      <c r="D175" t="s">
        <v>32</v>
      </c>
      <c r="E175" t="s">
        <v>33</v>
      </c>
      <c r="F175" t="s">
        <v>208</v>
      </c>
      <c r="G175">
        <v>21.009440000000001</v>
      </c>
      <c r="H175" t="s">
        <v>35</v>
      </c>
    </row>
    <row r="176" spans="1:8" x14ac:dyDescent="0.2">
      <c r="A176" t="s">
        <v>640</v>
      </c>
      <c r="B176" t="s">
        <v>30</v>
      </c>
      <c r="C176" t="s">
        <v>31</v>
      </c>
      <c r="D176" t="s">
        <v>32</v>
      </c>
      <c r="E176" t="s">
        <v>33</v>
      </c>
      <c r="F176" t="s">
        <v>209</v>
      </c>
      <c r="G176">
        <v>20.82732</v>
      </c>
      <c r="H176" t="s">
        <v>35</v>
      </c>
    </row>
    <row r="177" spans="1:8" x14ac:dyDescent="0.2">
      <c r="A177" t="s">
        <v>640</v>
      </c>
      <c r="B177" t="s">
        <v>30</v>
      </c>
      <c r="C177" t="s">
        <v>31</v>
      </c>
      <c r="D177" t="s">
        <v>32</v>
      </c>
      <c r="E177" t="s">
        <v>33</v>
      </c>
      <c r="F177" t="s">
        <v>210</v>
      </c>
      <c r="G177">
        <v>21.460260000000002</v>
      </c>
      <c r="H177" t="s">
        <v>35</v>
      </c>
    </row>
    <row r="178" spans="1:8" x14ac:dyDescent="0.2">
      <c r="A178" t="s">
        <v>640</v>
      </c>
      <c r="B178" t="s">
        <v>30</v>
      </c>
      <c r="C178" t="s">
        <v>31</v>
      </c>
      <c r="D178" t="s">
        <v>32</v>
      </c>
      <c r="E178" t="s">
        <v>33</v>
      </c>
      <c r="F178" t="s">
        <v>211</v>
      </c>
      <c r="G178">
        <v>22.02055</v>
      </c>
      <c r="H178" t="s">
        <v>35</v>
      </c>
    </row>
    <row r="179" spans="1:8" x14ac:dyDescent="0.2">
      <c r="A179" t="s">
        <v>640</v>
      </c>
      <c r="B179" t="s">
        <v>30</v>
      </c>
      <c r="C179" t="s">
        <v>31</v>
      </c>
      <c r="D179" t="s">
        <v>32</v>
      </c>
      <c r="E179" t="s">
        <v>33</v>
      </c>
      <c r="F179" t="s">
        <v>212</v>
      </c>
      <c r="G179">
        <v>22.413650000000001</v>
      </c>
      <c r="H179" t="s">
        <v>35</v>
      </c>
    </row>
    <row r="180" spans="1:8" x14ac:dyDescent="0.2">
      <c r="A180" t="s">
        <v>640</v>
      </c>
      <c r="B180" t="s">
        <v>30</v>
      </c>
      <c r="C180" t="s">
        <v>31</v>
      </c>
      <c r="D180" t="s">
        <v>32</v>
      </c>
      <c r="E180" t="s">
        <v>33</v>
      </c>
      <c r="F180" t="s">
        <v>213</v>
      </c>
      <c r="G180">
        <v>22.48132</v>
      </c>
      <c r="H180" t="s">
        <v>35</v>
      </c>
    </row>
    <row r="181" spans="1:8" x14ac:dyDescent="0.2">
      <c r="A181" t="s">
        <v>640</v>
      </c>
      <c r="B181" t="s">
        <v>30</v>
      </c>
      <c r="C181" t="s">
        <v>31</v>
      </c>
      <c r="D181" t="s">
        <v>32</v>
      </c>
      <c r="E181" t="s">
        <v>33</v>
      </c>
      <c r="F181" t="s">
        <v>214</v>
      </c>
      <c r="G181">
        <v>22.669409999999999</v>
      </c>
      <c r="H181" t="s">
        <v>35</v>
      </c>
    </row>
    <row r="182" spans="1:8" x14ac:dyDescent="0.2">
      <c r="A182" t="s">
        <v>640</v>
      </c>
      <c r="B182" t="s">
        <v>30</v>
      </c>
      <c r="C182" t="s">
        <v>31</v>
      </c>
      <c r="D182" t="s">
        <v>32</v>
      </c>
      <c r="E182" t="s">
        <v>33</v>
      </c>
      <c r="F182" t="s">
        <v>215</v>
      </c>
      <c r="G182">
        <v>23.02768</v>
      </c>
      <c r="H182" t="s">
        <v>35</v>
      </c>
    </row>
    <row r="183" spans="1:8" x14ac:dyDescent="0.2">
      <c r="A183" t="s">
        <v>640</v>
      </c>
      <c r="B183" t="s">
        <v>30</v>
      </c>
      <c r="C183" t="s">
        <v>31</v>
      </c>
      <c r="D183" t="s">
        <v>32</v>
      </c>
      <c r="E183" t="s">
        <v>33</v>
      </c>
      <c r="F183" t="s">
        <v>216</v>
      </c>
      <c r="G183">
        <v>23.239660000000001</v>
      </c>
      <c r="H183" t="s">
        <v>35</v>
      </c>
    </row>
    <row r="184" spans="1:8" x14ac:dyDescent="0.2">
      <c r="A184" t="s">
        <v>640</v>
      </c>
      <c r="B184" t="s">
        <v>30</v>
      </c>
      <c r="C184" t="s">
        <v>31</v>
      </c>
      <c r="D184" t="s">
        <v>32</v>
      </c>
      <c r="E184" t="s">
        <v>33</v>
      </c>
      <c r="F184" t="s">
        <v>217</v>
      </c>
      <c r="G184">
        <v>24.31147</v>
      </c>
      <c r="H184" t="s">
        <v>35</v>
      </c>
    </row>
    <row r="185" spans="1:8" x14ac:dyDescent="0.2">
      <c r="A185" t="s">
        <v>640</v>
      </c>
      <c r="B185" t="s">
        <v>30</v>
      </c>
      <c r="C185" t="s">
        <v>31</v>
      </c>
      <c r="D185" t="s">
        <v>32</v>
      </c>
      <c r="E185" t="s">
        <v>33</v>
      </c>
      <c r="F185" t="s">
        <v>218</v>
      </c>
      <c r="G185">
        <v>24.950389999999999</v>
      </c>
      <c r="H185" t="s">
        <v>35</v>
      </c>
    </row>
    <row r="186" spans="1:8" x14ac:dyDescent="0.2">
      <c r="A186" t="s">
        <v>640</v>
      </c>
      <c r="B186" t="s">
        <v>30</v>
      </c>
      <c r="C186" t="s">
        <v>31</v>
      </c>
      <c r="D186" t="s">
        <v>32</v>
      </c>
      <c r="E186" t="s">
        <v>33</v>
      </c>
      <c r="F186" t="s">
        <v>219</v>
      </c>
      <c r="G186">
        <v>25.334530000000001</v>
      </c>
      <c r="H186" t="s">
        <v>35</v>
      </c>
    </row>
    <row r="187" spans="1:8" x14ac:dyDescent="0.2">
      <c r="A187" t="s">
        <v>640</v>
      </c>
      <c r="B187" t="s">
        <v>30</v>
      </c>
      <c r="C187" t="s">
        <v>31</v>
      </c>
      <c r="D187" t="s">
        <v>32</v>
      </c>
      <c r="E187" t="s">
        <v>33</v>
      </c>
      <c r="F187" t="s">
        <v>220</v>
      </c>
      <c r="G187">
        <v>25.614180000000001</v>
      </c>
      <c r="H187" t="s">
        <v>35</v>
      </c>
    </row>
    <row r="188" spans="1:8" x14ac:dyDescent="0.2">
      <c r="A188" t="s">
        <v>640</v>
      </c>
      <c r="B188" t="s">
        <v>30</v>
      </c>
      <c r="C188" t="s">
        <v>31</v>
      </c>
      <c r="D188" t="s">
        <v>32</v>
      </c>
      <c r="E188" t="s">
        <v>33</v>
      </c>
      <c r="F188" t="s">
        <v>221</v>
      </c>
      <c r="G188">
        <v>25.694790000000001</v>
      </c>
      <c r="H188" t="s">
        <v>35</v>
      </c>
    </row>
    <row r="189" spans="1:8" x14ac:dyDescent="0.2">
      <c r="A189" t="s">
        <v>640</v>
      </c>
      <c r="B189" t="s">
        <v>30</v>
      </c>
      <c r="C189" t="s">
        <v>31</v>
      </c>
      <c r="D189" t="s">
        <v>32</v>
      </c>
      <c r="E189" t="s">
        <v>33</v>
      </c>
      <c r="F189" t="s">
        <v>222</v>
      </c>
      <c r="G189">
        <v>25.732600000000001</v>
      </c>
      <c r="H189" t="s">
        <v>35</v>
      </c>
    </row>
    <row r="190" spans="1:8" x14ac:dyDescent="0.2">
      <c r="A190" t="s">
        <v>640</v>
      </c>
      <c r="B190" t="s">
        <v>30</v>
      </c>
      <c r="C190" t="s">
        <v>31</v>
      </c>
      <c r="D190" t="s">
        <v>32</v>
      </c>
      <c r="E190" t="s">
        <v>33</v>
      </c>
      <c r="F190" t="s">
        <v>223</v>
      </c>
      <c r="G190">
        <v>25.818190000000001</v>
      </c>
      <c r="H190" t="s">
        <v>35</v>
      </c>
    </row>
    <row r="191" spans="1:8" x14ac:dyDescent="0.2">
      <c r="A191" t="s">
        <v>640</v>
      </c>
      <c r="B191" t="s">
        <v>30</v>
      </c>
      <c r="C191" t="s">
        <v>31</v>
      </c>
      <c r="D191" t="s">
        <v>32</v>
      </c>
      <c r="E191" t="s">
        <v>33</v>
      </c>
      <c r="F191" t="s">
        <v>224</v>
      </c>
      <c r="G191">
        <v>26.018219999999999</v>
      </c>
      <c r="H191" t="s">
        <v>35</v>
      </c>
    </row>
    <row r="192" spans="1:8" x14ac:dyDescent="0.2">
      <c r="A192" t="s">
        <v>640</v>
      </c>
      <c r="B192" t="s">
        <v>30</v>
      </c>
      <c r="C192" t="s">
        <v>31</v>
      </c>
      <c r="D192" t="s">
        <v>32</v>
      </c>
      <c r="E192" t="s">
        <v>33</v>
      </c>
      <c r="F192" t="s">
        <v>225</v>
      </c>
      <c r="G192">
        <v>26.048079999999999</v>
      </c>
      <c r="H192" t="s">
        <v>35</v>
      </c>
    </row>
    <row r="193" spans="1:8" x14ac:dyDescent="0.2">
      <c r="A193" t="s">
        <v>640</v>
      </c>
      <c r="B193" t="s">
        <v>30</v>
      </c>
      <c r="C193" t="s">
        <v>31</v>
      </c>
      <c r="D193" t="s">
        <v>32</v>
      </c>
      <c r="E193" t="s">
        <v>33</v>
      </c>
      <c r="F193" t="s">
        <v>226</v>
      </c>
      <c r="G193">
        <v>26.30583</v>
      </c>
      <c r="H193" t="s">
        <v>35</v>
      </c>
    </row>
    <row r="194" spans="1:8" x14ac:dyDescent="0.2">
      <c r="A194" t="s">
        <v>640</v>
      </c>
      <c r="B194" t="s">
        <v>30</v>
      </c>
      <c r="C194" t="s">
        <v>31</v>
      </c>
      <c r="D194" t="s">
        <v>32</v>
      </c>
      <c r="E194" t="s">
        <v>33</v>
      </c>
      <c r="F194" t="s">
        <v>227</v>
      </c>
      <c r="G194">
        <v>26.71386</v>
      </c>
      <c r="H194" t="s">
        <v>35</v>
      </c>
    </row>
    <row r="195" spans="1:8" x14ac:dyDescent="0.2">
      <c r="A195" t="s">
        <v>640</v>
      </c>
      <c r="B195" t="s">
        <v>30</v>
      </c>
      <c r="C195" t="s">
        <v>31</v>
      </c>
      <c r="D195" t="s">
        <v>32</v>
      </c>
      <c r="E195" t="s">
        <v>33</v>
      </c>
      <c r="F195" t="s">
        <v>228</v>
      </c>
      <c r="G195">
        <v>27.15174</v>
      </c>
      <c r="H195" t="s">
        <v>35</v>
      </c>
    </row>
    <row r="196" spans="1:8" x14ac:dyDescent="0.2">
      <c r="A196" t="s">
        <v>640</v>
      </c>
      <c r="B196" t="s">
        <v>30</v>
      </c>
      <c r="C196" t="s">
        <v>31</v>
      </c>
      <c r="D196" t="s">
        <v>32</v>
      </c>
      <c r="E196" t="s">
        <v>33</v>
      </c>
      <c r="F196" t="s">
        <v>229</v>
      </c>
      <c r="G196">
        <v>27.8643</v>
      </c>
      <c r="H196" t="s">
        <v>35</v>
      </c>
    </row>
    <row r="197" spans="1:8" x14ac:dyDescent="0.2">
      <c r="A197" t="s">
        <v>640</v>
      </c>
      <c r="B197" t="s">
        <v>30</v>
      </c>
      <c r="C197" t="s">
        <v>31</v>
      </c>
      <c r="D197" t="s">
        <v>32</v>
      </c>
      <c r="E197" t="s">
        <v>33</v>
      </c>
      <c r="F197" t="s">
        <v>230</v>
      </c>
      <c r="G197">
        <v>28.22655</v>
      </c>
      <c r="H197" t="s">
        <v>35</v>
      </c>
    </row>
    <row r="198" spans="1:8" x14ac:dyDescent="0.2">
      <c r="A198" t="s">
        <v>640</v>
      </c>
      <c r="B198" t="s">
        <v>30</v>
      </c>
      <c r="C198" t="s">
        <v>31</v>
      </c>
      <c r="D198" t="s">
        <v>32</v>
      </c>
      <c r="E198" t="s">
        <v>33</v>
      </c>
      <c r="F198" t="s">
        <v>231</v>
      </c>
      <c r="G198">
        <v>28.55198</v>
      </c>
      <c r="H198" t="s">
        <v>35</v>
      </c>
    </row>
    <row r="199" spans="1:8" x14ac:dyDescent="0.2">
      <c r="A199" t="s">
        <v>640</v>
      </c>
      <c r="B199" t="s">
        <v>30</v>
      </c>
      <c r="C199" t="s">
        <v>31</v>
      </c>
      <c r="D199" t="s">
        <v>32</v>
      </c>
      <c r="E199" t="s">
        <v>33</v>
      </c>
      <c r="F199" t="s">
        <v>232</v>
      </c>
      <c r="G199">
        <v>28.9192</v>
      </c>
      <c r="H199" t="s">
        <v>35</v>
      </c>
    </row>
    <row r="200" spans="1:8" x14ac:dyDescent="0.2">
      <c r="A200" t="s">
        <v>640</v>
      </c>
      <c r="B200" t="s">
        <v>30</v>
      </c>
      <c r="C200" t="s">
        <v>31</v>
      </c>
      <c r="D200" t="s">
        <v>32</v>
      </c>
      <c r="E200" t="s">
        <v>33</v>
      </c>
      <c r="F200" t="s">
        <v>233</v>
      </c>
      <c r="G200">
        <v>28.788830000000001</v>
      </c>
      <c r="H200" t="s">
        <v>35</v>
      </c>
    </row>
    <row r="201" spans="1:8" x14ac:dyDescent="0.2">
      <c r="A201" t="s">
        <v>640</v>
      </c>
      <c r="B201" t="s">
        <v>30</v>
      </c>
      <c r="C201" t="s">
        <v>31</v>
      </c>
      <c r="D201" t="s">
        <v>32</v>
      </c>
      <c r="E201" t="s">
        <v>33</v>
      </c>
      <c r="F201" t="s">
        <v>234</v>
      </c>
      <c r="G201">
        <v>28.880389999999998</v>
      </c>
      <c r="H201" t="s">
        <v>35</v>
      </c>
    </row>
    <row r="202" spans="1:8" x14ac:dyDescent="0.2">
      <c r="A202" t="s">
        <v>640</v>
      </c>
      <c r="B202" t="s">
        <v>30</v>
      </c>
      <c r="C202" t="s">
        <v>31</v>
      </c>
      <c r="D202" t="s">
        <v>32</v>
      </c>
      <c r="E202" t="s">
        <v>33</v>
      </c>
      <c r="F202" t="s">
        <v>235</v>
      </c>
      <c r="G202">
        <v>28.878399999999999</v>
      </c>
      <c r="H202" t="s">
        <v>35</v>
      </c>
    </row>
    <row r="203" spans="1:8" x14ac:dyDescent="0.2">
      <c r="A203" t="s">
        <v>640</v>
      </c>
      <c r="B203" t="s">
        <v>30</v>
      </c>
      <c r="C203" t="s">
        <v>31</v>
      </c>
      <c r="D203" t="s">
        <v>32</v>
      </c>
      <c r="E203" t="s">
        <v>33</v>
      </c>
      <c r="F203" t="s">
        <v>236</v>
      </c>
      <c r="G203">
        <v>29.14809</v>
      </c>
      <c r="H203" t="s">
        <v>35</v>
      </c>
    </row>
    <row r="204" spans="1:8" x14ac:dyDescent="0.2">
      <c r="A204" t="s">
        <v>640</v>
      </c>
      <c r="B204" t="s">
        <v>30</v>
      </c>
      <c r="C204" t="s">
        <v>31</v>
      </c>
      <c r="D204" t="s">
        <v>32</v>
      </c>
      <c r="E204" t="s">
        <v>33</v>
      </c>
      <c r="F204" t="s">
        <v>237</v>
      </c>
      <c r="G204">
        <v>29.268509999999999</v>
      </c>
      <c r="H204" t="s">
        <v>35</v>
      </c>
    </row>
    <row r="205" spans="1:8" x14ac:dyDescent="0.2">
      <c r="A205" t="s">
        <v>640</v>
      </c>
      <c r="B205" t="s">
        <v>30</v>
      </c>
      <c r="C205" t="s">
        <v>31</v>
      </c>
      <c r="D205" t="s">
        <v>32</v>
      </c>
      <c r="E205" t="s">
        <v>33</v>
      </c>
      <c r="F205" t="s">
        <v>238</v>
      </c>
      <c r="G205">
        <v>29.454609999999999</v>
      </c>
      <c r="H205" t="s">
        <v>35</v>
      </c>
    </row>
    <row r="206" spans="1:8" x14ac:dyDescent="0.2">
      <c r="A206" t="s">
        <v>640</v>
      </c>
      <c r="B206" t="s">
        <v>30</v>
      </c>
      <c r="C206" t="s">
        <v>31</v>
      </c>
      <c r="D206" t="s">
        <v>32</v>
      </c>
      <c r="E206" t="s">
        <v>33</v>
      </c>
      <c r="F206" t="s">
        <v>239</v>
      </c>
      <c r="G206">
        <v>29.7044</v>
      </c>
      <c r="H206" t="s">
        <v>35</v>
      </c>
    </row>
    <row r="207" spans="1:8" x14ac:dyDescent="0.2">
      <c r="A207" t="s">
        <v>640</v>
      </c>
      <c r="B207" t="s">
        <v>30</v>
      </c>
      <c r="C207" t="s">
        <v>31</v>
      </c>
      <c r="D207" t="s">
        <v>32</v>
      </c>
      <c r="E207" t="s">
        <v>33</v>
      </c>
      <c r="F207" t="s">
        <v>240</v>
      </c>
      <c r="G207">
        <v>30.19802</v>
      </c>
      <c r="H207" t="s">
        <v>35</v>
      </c>
    </row>
    <row r="208" spans="1:8" x14ac:dyDescent="0.2">
      <c r="A208" t="s">
        <v>640</v>
      </c>
      <c r="B208" t="s">
        <v>30</v>
      </c>
      <c r="C208" t="s">
        <v>31</v>
      </c>
      <c r="D208" t="s">
        <v>32</v>
      </c>
      <c r="E208" t="s">
        <v>33</v>
      </c>
      <c r="F208" t="s">
        <v>241</v>
      </c>
      <c r="G208">
        <v>30.652819999999998</v>
      </c>
      <c r="H208" t="s">
        <v>35</v>
      </c>
    </row>
    <row r="209" spans="1:8" x14ac:dyDescent="0.2">
      <c r="A209" t="s">
        <v>640</v>
      </c>
      <c r="B209" t="s">
        <v>30</v>
      </c>
      <c r="C209" t="s">
        <v>31</v>
      </c>
      <c r="D209" t="s">
        <v>32</v>
      </c>
      <c r="E209" t="s">
        <v>33</v>
      </c>
      <c r="F209" t="s">
        <v>242</v>
      </c>
      <c r="G209">
        <v>31.007110000000001</v>
      </c>
      <c r="H209" t="s">
        <v>35</v>
      </c>
    </row>
    <row r="210" spans="1:8" x14ac:dyDescent="0.2">
      <c r="A210" t="s">
        <v>640</v>
      </c>
      <c r="B210" t="s">
        <v>30</v>
      </c>
      <c r="C210" t="s">
        <v>31</v>
      </c>
      <c r="D210" t="s">
        <v>32</v>
      </c>
      <c r="E210" t="s">
        <v>33</v>
      </c>
      <c r="F210" t="s">
        <v>243</v>
      </c>
      <c r="G210">
        <v>31.425090000000001</v>
      </c>
      <c r="H210" t="s">
        <v>35</v>
      </c>
    </row>
    <row r="211" spans="1:8" x14ac:dyDescent="0.2">
      <c r="A211" t="s">
        <v>640</v>
      </c>
      <c r="B211" t="s">
        <v>30</v>
      </c>
      <c r="C211" t="s">
        <v>31</v>
      </c>
      <c r="D211" t="s">
        <v>32</v>
      </c>
      <c r="E211" t="s">
        <v>33</v>
      </c>
      <c r="F211" t="s">
        <v>244</v>
      </c>
      <c r="G211">
        <v>31.583320000000001</v>
      </c>
      <c r="H211" t="s">
        <v>35</v>
      </c>
    </row>
    <row r="212" spans="1:8" x14ac:dyDescent="0.2">
      <c r="A212" t="s">
        <v>640</v>
      </c>
      <c r="B212" t="s">
        <v>30</v>
      </c>
      <c r="C212" t="s">
        <v>31</v>
      </c>
      <c r="D212" t="s">
        <v>32</v>
      </c>
      <c r="E212" t="s">
        <v>33</v>
      </c>
      <c r="F212" t="s">
        <v>245</v>
      </c>
      <c r="G212">
        <v>31.617159999999998</v>
      </c>
      <c r="H212" t="s">
        <v>35</v>
      </c>
    </row>
    <row r="213" spans="1:8" x14ac:dyDescent="0.2">
      <c r="A213" t="s">
        <v>640</v>
      </c>
      <c r="B213" t="s">
        <v>30</v>
      </c>
      <c r="C213" t="s">
        <v>31</v>
      </c>
      <c r="D213" t="s">
        <v>32</v>
      </c>
      <c r="E213" t="s">
        <v>33</v>
      </c>
      <c r="F213" t="s">
        <v>246</v>
      </c>
      <c r="G213">
        <v>31.53257</v>
      </c>
      <c r="H213" t="s">
        <v>35</v>
      </c>
    </row>
    <row r="214" spans="1:8" x14ac:dyDescent="0.2">
      <c r="A214" t="s">
        <v>640</v>
      </c>
      <c r="B214" t="s">
        <v>30</v>
      </c>
      <c r="C214" t="s">
        <v>31</v>
      </c>
      <c r="D214" t="s">
        <v>32</v>
      </c>
      <c r="E214" t="s">
        <v>33</v>
      </c>
      <c r="F214" t="s">
        <v>247</v>
      </c>
      <c r="G214">
        <v>31.630089999999999</v>
      </c>
      <c r="H214" t="s">
        <v>35</v>
      </c>
    </row>
    <row r="215" spans="1:8" x14ac:dyDescent="0.2">
      <c r="A215" t="s">
        <v>640</v>
      </c>
      <c r="B215" t="s">
        <v>30</v>
      </c>
      <c r="C215" t="s">
        <v>31</v>
      </c>
      <c r="D215" t="s">
        <v>32</v>
      </c>
      <c r="E215" t="s">
        <v>33</v>
      </c>
      <c r="F215" t="s">
        <v>248</v>
      </c>
      <c r="G215">
        <v>31.96846</v>
      </c>
      <c r="H215" t="s">
        <v>35</v>
      </c>
    </row>
    <row r="216" spans="1:8" x14ac:dyDescent="0.2">
      <c r="A216" t="s">
        <v>640</v>
      </c>
      <c r="B216" t="s">
        <v>30</v>
      </c>
      <c r="C216" t="s">
        <v>31</v>
      </c>
      <c r="D216" t="s">
        <v>32</v>
      </c>
      <c r="E216" t="s">
        <v>33</v>
      </c>
      <c r="F216" t="s">
        <v>249</v>
      </c>
      <c r="G216">
        <v>32.057029999999997</v>
      </c>
      <c r="H216" t="s">
        <v>35</v>
      </c>
    </row>
    <row r="217" spans="1:8" x14ac:dyDescent="0.2">
      <c r="A217" t="s">
        <v>640</v>
      </c>
      <c r="B217" t="s">
        <v>30</v>
      </c>
      <c r="C217" t="s">
        <v>31</v>
      </c>
      <c r="D217" t="s">
        <v>32</v>
      </c>
      <c r="E217" t="s">
        <v>33</v>
      </c>
      <c r="F217" t="s">
        <v>250</v>
      </c>
      <c r="G217">
        <v>32.415300000000002</v>
      </c>
      <c r="H217" t="s">
        <v>35</v>
      </c>
    </row>
    <row r="218" spans="1:8" x14ac:dyDescent="0.2">
      <c r="A218" t="s">
        <v>640</v>
      </c>
      <c r="B218" t="s">
        <v>30</v>
      </c>
      <c r="C218" t="s">
        <v>31</v>
      </c>
      <c r="D218" t="s">
        <v>32</v>
      </c>
      <c r="E218" t="s">
        <v>33</v>
      </c>
      <c r="F218" t="s">
        <v>251</v>
      </c>
      <c r="G218">
        <v>32.53472</v>
      </c>
      <c r="H218" t="s">
        <v>35</v>
      </c>
    </row>
    <row r="219" spans="1:8" x14ac:dyDescent="0.2">
      <c r="A219" t="s">
        <v>640</v>
      </c>
      <c r="B219" t="s">
        <v>30</v>
      </c>
      <c r="C219" t="s">
        <v>31</v>
      </c>
      <c r="D219" t="s">
        <v>32</v>
      </c>
      <c r="E219" t="s">
        <v>33</v>
      </c>
      <c r="F219" t="s">
        <v>252</v>
      </c>
      <c r="G219">
        <v>32.977580000000003</v>
      </c>
      <c r="H219" t="s">
        <v>35</v>
      </c>
    </row>
    <row r="220" spans="1:8" x14ac:dyDescent="0.2">
      <c r="A220" t="s">
        <v>640</v>
      </c>
      <c r="B220" t="s">
        <v>30</v>
      </c>
      <c r="C220" t="s">
        <v>31</v>
      </c>
      <c r="D220" t="s">
        <v>32</v>
      </c>
      <c r="E220" t="s">
        <v>33</v>
      </c>
      <c r="F220" t="s">
        <v>253</v>
      </c>
      <c r="G220">
        <v>33.450290000000003</v>
      </c>
      <c r="H220" t="s">
        <v>35</v>
      </c>
    </row>
    <row r="221" spans="1:8" x14ac:dyDescent="0.2">
      <c r="A221" t="s">
        <v>640</v>
      </c>
      <c r="B221" t="s">
        <v>30</v>
      </c>
      <c r="C221" t="s">
        <v>31</v>
      </c>
      <c r="D221" t="s">
        <v>32</v>
      </c>
      <c r="E221" t="s">
        <v>33</v>
      </c>
      <c r="F221" t="s">
        <v>254</v>
      </c>
      <c r="G221">
        <v>33.913060000000002</v>
      </c>
      <c r="H221" t="s">
        <v>35</v>
      </c>
    </row>
    <row r="222" spans="1:8" x14ac:dyDescent="0.2">
      <c r="A222" t="s">
        <v>640</v>
      </c>
      <c r="B222" t="s">
        <v>30</v>
      </c>
      <c r="C222" t="s">
        <v>31</v>
      </c>
      <c r="D222" t="s">
        <v>32</v>
      </c>
      <c r="E222" t="s">
        <v>33</v>
      </c>
      <c r="F222" t="s">
        <v>255</v>
      </c>
      <c r="G222">
        <v>34.14096</v>
      </c>
      <c r="H222" t="s">
        <v>35</v>
      </c>
    </row>
    <row r="223" spans="1:8" x14ac:dyDescent="0.2">
      <c r="A223" t="s">
        <v>640</v>
      </c>
      <c r="B223" t="s">
        <v>30</v>
      </c>
      <c r="C223" t="s">
        <v>31</v>
      </c>
      <c r="D223" t="s">
        <v>32</v>
      </c>
      <c r="E223" t="s">
        <v>33</v>
      </c>
      <c r="F223" t="s">
        <v>256</v>
      </c>
      <c r="G223">
        <v>34.268340000000002</v>
      </c>
      <c r="H223" t="s">
        <v>35</v>
      </c>
    </row>
    <row r="224" spans="1:8" x14ac:dyDescent="0.2">
      <c r="A224" t="s">
        <v>640</v>
      </c>
      <c r="B224" t="s">
        <v>30</v>
      </c>
      <c r="C224" t="s">
        <v>31</v>
      </c>
      <c r="D224" t="s">
        <v>32</v>
      </c>
      <c r="E224" t="s">
        <v>33</v>
      </c>
      <c r="F224" t="s">
        <v>257</v>
      </c>
      <c r="G224">
        <v>34.383780000000002</v>
      </c>
      <c r="H224" t="s">
        <v>35</v>
      </c>
    </row>
    <row r="225" spans="1:8" x14ac:dyDescent="0.2">
      <c r="A225" t="s">
        <v>640</v>
      </c>
      <c r="B225" t="s">
        <v>30</v>
      </c>
      <c r="C225" t="s">
        <v>31</v>
      </c>
      <c r="D225" t="s">
        <v>32</v>
      </c>
      <c r="E225" t="s">
        <v>33</v>
      </c>
      <c r="F225" t="s">
        <v>258</v>
      </c>
      <c r="G225">
        <v>34.56391</v>
      </c>
      <c r="H225" t="s">
        <v>35</v>
      </c>
    </row>
    <row r="226" spans="1:8" x14ac:dyDescent="0.2">
      <c r="A226" t="s">
        <v>640</v>
      </c>
      <c r="B226" t="s">
        <v>30</v>
      </c>
      <c r="C226" t="s">
        <v>31</v>
      </c>
      <c r="D226" t="s">
        <v>32</v>
      </c>
      <c r="E226" t="s">
        <v>33</v>
      </c>
      <c r="F226" t="s">
        <v>259</v>
      </c>
      <c r="G226">
        <v>34.847540000000002</v>
      </c>
      <c r="H226" t="s">
        <v>35</v>
      </c>
    </row>
    <row r="227" spans="1:8" x14ac:dyDescent="0.2">
      <c r="A227" t="s">
        <v>640</v>
      </c>
      <c r="B227" t="s">
        <v>30</v>
      </c>
      <c r="C227" t="s">
        <v>31</v>
      </c>
      <c r="D227" t="s">
        <v>32</v>
      </c>
      <c r="E227" t="s">
        <v>33</v>
      </c>
      <c r="F227" t="s">
        <v>260</v>
      </c>
      <c r="G227">
        <v>35.30433</v>
      </c>
      <c r="H227" t="s">
        <v>35</v>
      </c>
    </row>
    <row r="228" spans="1:8" x14ac:dyDescent="0.2">
      <c r="A228" t="s">
        <v>640</v>
      </c>
      <c r="B228" t="s">
        <v>30</v>
      </c>
      <c r="C228" t="s">
        <v>31</v>
      </c>
      <c r="D228" t="s">
        <v>32</v>
      </c>
      <c r="E228" t="s">
        <v>33</v>
      </c>
      <c r="F228" t="s">
        <v>261</v>
      </c>
      <c r="G228">
        <v>35.665590000000002</v>
      </c>
      <c r="H228" t="s">
        <v>35</v>
      </c>
    </row>
    <row r="229" spans="1:8" x14ac:dyDescent="0.2">
      <c r="A229" t="s">
        <v>640</v>
      </c>
      <c r="B229" t="s">
        <v>30</v>
      </c>
      <c r="C229" t="s">
        <v>31</v>
      </c>
      <c r="D229" t="s">
        <v>32</v>
      </c>
      <c r="E229" t="s">
        <v>33</v>
      </c>
      <c r="F229" t="s">
        <v>262</v>
      </c>
      <c r="G229">
        <v>35.982059999999997</v>
      </c>
      <c r="H229" t="s">
        <v>35</v>
      </c>
    </row>
    <row r="230" spans="1:8" x14ac:dyDescent="0.2">
      <c r="A230" t="s">
        <v>640</v>
      </c>
      <c r="B230" t="s">
        <v>30</v>
      </c>
      <c r="C230" t="s">
        <v>31</v>
      </c>
      <c r="D230" t="s">
        <v>32</v>
      </c>
      <c r="E230" t="s">
        <v>33</v>
      </c>
      <c r="F230" t="s">
        <v>263</v>
      </c>
      <c r="G230">
        <v>36.488610000000001</v>
      </c>
      <c r="H230" t="s">
        <v>35</v>
      </c>
    </row>
    <row r="231" spans="1:8" x14ac:dyDescent="0.2">
      <c r="A231" t="s">
        <v>640</v>
      </c>
      <c r="B231" t="s">
        <v>30</v>
      </c>
      <c r="C231" t="s">
        <v>31</v>
      </c>
      <c r="D231" t="s">
        <v>32</v>
      </c>
      <c r="E231" t="s">
        <v>33</v>
      </c>
      <c r="F231" t="s">
        <v>264</v>
      </c>
      <c r="G231">
        <v>36.920520000000003</v>
      </c>
      <c r="H231" t="s">
        <v>35</v>
      </c>
    </row>
    <row r="232" spans="1:8" x14ac:dyDescent="0.2">
      <c r="A232" t="s">
        <v>640</v>
      </c>
      <c r="B232" t="s">
        <v>30</v>
      </c>
      <c r="C232" t="s">
        <v>31</v>
      </c>
      <c r="D232" t="s">
        <v>32</v>
      </c>
      <c r="E232" t="s">
        <v>33</v>
      </c>
      <c r="F232" t="s">
        <v>265</v>
      </c>
      <c r="G232">
        <v>37.57734</v>
      </c>
      <c r="H232" t="s">
        <v>35</v>
      </c>
    </row>
    <row r="233" spans="1:8" x14ac:dyDescent="0.2">
      <c r="A233" t="s">
        <v>640</v>
      </c>
      <c r="B233" t="s">
        <v>30</v>
      </c>
      <c r="C233" t="s">
        <v>31</v>
      </c>
      <c r="D233" t="s">
        <v>32</v>
      </c>
      <c r="E233" t="s">
        <v>33</v>
      </c>
      <c r="F233" t="s">
        <v>266</v>
      </c>
      <c r="G233">
        <v>38.080910000000003</v>
      </c>
      <c r="H233" t="s">
        <v>35</v>
      </c>
    </row>
    <row r="234" spans="1:8" x14ac:dyDescent="0.2">
      <c r="A234" t="s">
        <v>640</v>
      </c>
      <c r="B234" t="s">
        <v>30</v>
      </c>
      <c r="C234" t="s">
        <v>31</v>
      </c>
      <c r="D234" t="s">
        <v>32</v>
      </c>
      <c r="E234" t="s">
        <v>33</v>
      </c>
      <c r="F234" t="s">
        <v>267</v>
      </c>
      <c r="G234">
        <v>38.40634</v>
      </c>
      <c r="H234" t="s">
        <v>35</v>
      </c>
    </row>
    <row r="235" spans="1:8" x14ac:dyDescent="0.2">
      <c r="A235" t="s">
        <v>640</v>
      </c>
      <c r="B235" t="s">
        <v>30</v>
      </c>
      <c r="C235" t="s">
        <v>31</v>
      </c>
      <c r="D235" t="s">
        <v>32</v>
      </c>
      <c r="E235" t="s">
        <v>33</v>
      </c>
      <c r="F235" t="s">
        <v>268</v>
      </c>
      <c r="G235">
        <v>38.798439999999999</v>
      </c>
      <c r="H235" t="s">
        <v>35</v>
      </c>
    </row>
    <row r="236" spans="1:8" x14ac:dyDescent="0.2">
      <c r="A236" t="s">
        <v>640</v>
      </c>
      <c r="B236" t="s">
        <v>30</v>
      </c>
      <c r="C236" t="s">
        <v>31</v>
      </c>
      <c r="D236" t="s">
        <v>32</v>
      </c>
      <c r="E236" t="s">
        <v>33</v>
      </c>
      <c r="F236" t="s">
        <v>269</v>
      </c>
      <c r="G236">
        <v>38.867109999999997</v>
      </c>
      <c r="H236" t="s">
        <v>35</v>
      </c>
    </row>
    <row r="237" spans="1:8" x14ac:dyDescent="0.2">
      <c r="A237" t="s">
        <v>640</v>
      </c>
      <c r="B237" t="s">
        <v>30</v>
      </c>
      <c r="C237" t="s">
        <v>31</v>
      </c>
      <c r="D237" t="s">
        <v>32</v>
      </c>
      <c r="E237" t="s">
        <v>33</v>
      </c>
      <c r="F237" t="s">
        <v>270</v>
      </c>
      <c r="G237">
        <v>39.127850000000002</v>
      </c>
      <c r="H237" t="s">
        <v>35</v>
      </c>
    </row>
    <row r="238" spans="1:8" x14ac:dyDescent="0.2">
      <c r="A238" t="s">
        <v>640</v>
      </c>
      <c r="B238" t="s">
        <v>30</v>
      </c>
      <c r="C238" t="s">
        <v>31</v>
      </c>
      <c r="D238" t="s">
        <v>32</v>
      </c>
      <c r="E238" t="s">
        <v>33</v>
      </c>
      <c r="F238" t="s">
        <v>271</v>
      </c>
      <c r="G238">
        <v>39.493079999999999</v>
      </c>
      <c r="H238" t="s">
        <v>35</v>
      </c>
    </row>
    <row r="239" spans="1:8" x14ac:dyDescent="0.2">
      <c r="A239" t="s">
        <v>640</v>
      </c>
      <c r="B239" t="s">
        <v>30</v>
      </c>
      <c r="C239" t="s">
        <v>31</v>
      </c>
      <c r="D239" t="s">
        <v>32</v>
      </c>
      <c r="E239" t="s">
        <v>33</v>
      </c>
      <c r="F239" t="s">
        <v>272</v>
      </c>
      <c r="G239">
        <v>40.143940000000001</v>
      </c>
      <c r="H239" t="s">
        <v>35</v>
      </c>
    </row>
    <row r="240" spans="1:8" x14ac:dyDescent="0.2">
      <c r="A240" t="s">
        <v>640</v>
      </c>
      <c r="B240" t="s">
        <v>30</v>
      </c>
      <c r="C240" t="s">
        <v>31</v>
      </c>
      <c r="D240" t="s">
        <v>32</v>
      </c>
      <c r="E240" t="s">
        <v>33</v>
      </c>
      <c r="F240" t="s">
        <v>273</v>
      </c>
      <c r="G240">
        <v>40.230519999999999</v>
      </c>
      <c r="H240" t="s">
        <v>35</v>
      </c>
    </row>
    <row r="241" spans="1:8" x14ac:dyDescent="0.2">
      <c r="A241" t="s">
        <v>640</v>
      </c>
      <c r="B241" t="s">
        <v>30</v>
      </c>
      <c r="C241" t="s">
        <v>31</v>
      </c>
      <c r="D241" t="s">
        <v>32</v>
      </c>
      <c r="E241" t="s">
        <v>33</v>
      </c>
      <c r="F241" t="s">
        <v>274</v>
      </c>
      <c r="G241">
        <v>40.430549999999997</v>
      </c>
      <c r="H241" t="s">
        <v>35</v>
      </c>
    </row>
    <row r="242" spans="1:8" x14ac:dyDescent="0.2">
      <c r="A242" t="s">
        <v>640</v>
      </c>
      <c r="B242" t="s">
        <v>30</v>
      </c>
      <c r="C242" t="s">
        <v>31</v>
      </c>
      <c r="D242" t="s">
        <v>32</v>
      </c>
      <c r="E242" t="s">
        <v>33</v>
      </c>
      <c r="F242" t="s">
        <v>275</v>
      </c>
      <c r="G242">
        <v>40.808720000000001</v>
      </c>
      <c r="H242" t="s">
        <v>35</v>
      </c>
    </row>
    <row r="243" spans="1:8" x14ac:dyDescent="0.2">
      <c r="A243" t="s">
        <v>640</v>
      </c>
      <c r="B243" t="s">
        <v>30</v>
      </c>
      <c r="C243" t="s">
        <v>31</v>
      </c>
      <c r="D243" t="s">
        <v>32</v>
      </c>
      <c r="E243" t="s">
        <v>33</v>
      </c>
      <c r="F243" t="s">
        <v>276</v>
      </c>
      <c r="G243">
        <v>41.237650000000002</v>
      </c>
      <c r="H243" t="s">
        <v>35</v>
      </c>
    </row>
    <row r="244" spans="1:8" x14ac:dyDescent="0.2">
      <c r="A244" t="s">
        <v>640</v>
      </c>
      <c r="B244" t="s">
        <v>30</v>
      </c>
      <c r="C244" t="s">
        <v>31</v>
      </c>
      <c r="D244" t="s">
        <v>32</v>
      </c>
      <c r="E244" t="s">
        <v>33</v>
      </c>
      <c r="F244" t="s">
        <v>277</v>
      </c>
      <c r="G244">
        <v>42.22786</v>
      </c>
      <c r="H244" t="s">
        <v>35</v>
      </c>
    </row>
    <row r="245" spans="1:8" x14ac:dyDescent="0.2">
      <c r="A245" t="s">
        <v>640</v>
      </c>
      <c r="B245" t="s">
        <v>30</v>
      </c>
      <c r="C245" t="s">
        <v>31</v>
      </c>
      <c r="D245" t="s">
        <v>32</v>
      </c>
      <c r="E245" t="s">
        <v>33</v>
      </c>
      <c r="F245" t="s">
        <v>278</v>
      </c>
      <c r="G245">
        <v>43.169310000000003</v>
      </c>
      <c r="H245" t="s">
        <v>35</v>
      </c>
    </row>
    <row r="246" spans="1:8" x14ac:dyDescent="0.2">
      <c r="A246" t="s">
        <v>640</v>
      </c>
      <c r="B246" t="s">
        <v>30</v>
      </c>
      <c r="C246" t="s">
        <v>31</v>
      </c>
      <c r="D246" t="s">
        <v>32</v>
      </c>
      <c r="E246" t="s">
        <v>33</v>
      </c>
      <c r="F246" t="s">
        <v>279</v>
      </c>
      <c r="G246">
        <v>43.422089999999997</v>
      </c>
      <c r="H246" t="s">
        <v>35</v>
      </c>
    </row>
    <row r="247" spans="1:8" x14ac:dyDescent="0.2">
      <c r="A247" t="s">
        <v>640</v>
      </c>
      <c r="B247" t="s">
        <v>30</v>
      </c>
      <c r="C247" t="s">
        <v>31</v>
      </c>
      <c r="D247" t="s">
        <v>32</v>
      </c>
      <c r="E247" t="s">
        <v>33</v>
      </c>
      <c r="F247" t="s">
        <v>280</v>
      </c>
      <c r="G247">
        <v>43.922669999999997</v>
      </c>
      <c r="H247" t="s">
        <v>35</v>
      </c>
    </row>
    <row r="248" spans="1:8" x14ac:dyDescent="0.2">
      <c r="A248" t="s">
        <v>640</v>
      </c>
      <c r="B248" t="s">
        <v>30</v>
      </c>
      <c r="C248" t="s">
        <v>31</v>
      </c>
      <c r="D248" t="s">
        <v>32</v>
      </c>
      <c r="E248" t="s">
        <v>33</v>
      </c>
      <c r="F248" t="s">
        <v>281</v>
      </c>
      <c r="G248">
        <v>44.388420000000004</v>
      </c>
      <c r="H248" t="s">
        <v>35</v>
      </c>
    </row>
    <row r="249" spans="1:8" x14ac:dyDescent="0.2">
      <c r="A249" t="s">
        <v>640</v>
      </c>
      <c r="B249" t="s">
        <v>30</v>
      </c>
      <c r="C249" t="s">
        <v>31</v>
      </c>
      <c r="D249" t="s">
        <v>32</v>
      </c>
      <c r="E249" t="s">
        <v>33</v>
      </c>
      <c r="F249" t="s">
        <v>282</v>
      </c>
      <c r="G249">
        <v>44.518790000000003</v>
      </c>
      <c r="H249" t="s">
        <v>35</v>
      </c>
    </row>
    <row r="250" spans="1:8" x14ac:dyDescent="0.2">
      <c r="A250" t="s">
        <v>640</v>
      </c>
      <c r="B250" t="s">
        <v>30</v>
      </c>
      <c r="C250" t="s">
        <v>31</v>
      </c>
      <c r="D250" t="s">
        <v>32</v>
      </c>
      <c r="E250" t="s">
        <v>33</v>
      </c>
      <c r="F250" t="s">
        <v>283</v>
      </c>
      <c r="G250">
        <v>44.83426</v>
      </c>
      <c r="H250" t="s">
        <v>35</v>
      </c>
    </row>
    <row r="251" spans="1:8" x14ac:dyDescent="0.2">
      <c r="A251" t="s">
        <v>640</v>
      </c>
      <c r="B251" t="s">
        <v>30</v>
      </c>
      <c r="C251" t="s">
        <v>31</v>
      </c>
      <c r="D251" t="s">
        <v>32</v>
      </c>
      <c r="E251" t="s">
        <v>33</v>
      </c>
      <c r="F251" t="s">
        <v>284</v>
      </c>
      <c r="G251">
        <v>45.366689999999998</v>
      </c>
      <c r="H251" t="s">
        <v>35</v>
      </c>
    </row>
    <row r="252" spans="1:8" x14ac:dyDescent="0.2">
      <c r="A252" t="s">
        <v>640</v>
      </c>
      <c r="B252" t="s">
        <v>30</v>
      </c>
      <c r="C252" t="s">
        <v>31</v>
      </c>
      <c r="D252" t="s">
        <v>32</v>
      </c>
      <c r="E252" t="s">
        <v>33</v>
      </c>
      <c r="F252" t="s">
        <v>285</v>
      </c>
      <c r="G252">
        <v>45.84836</v>
      </c>
      <c r="H252" t="s">
        <v>35</v>
      </c>
    </row>
    <row r="253" spans="1:8" x14ac:dyDescent="0.2">
      <c r="A253" t="s">
        <v>640</v>
      </c>
      <c r="B253" t="s">
        <v>30</v>
      </c>
      <c r="C253" t="s">
        <v>31</v>
      </c>
      <c r="D253" t="s">
        <v>32</v>
      </c>
      <c r="E253" t="s">
        <v>33</v>
      </c>
      <c r="F253" t="s">
        <v>286</v>
      </c>
      <c r="G253">
        <v>46.34695</v>
      </c>
      <c r="H253" t="s">
        <v>35</v>
      </c>
    </row>
    <row r="254" spans="1:8" x14ac:dyDescent="0.2">
      <c r="A254" t="s">
        <v>640</v>
      </c>
      <c r="B254" t="s">
        <v>30</v>
      </c>
      <c r="C254" t="s">
        <v>31</v>
      </c>
      <c r="D254" t="s">
        <v>32</v>
      </c>
      <c r="E254" t="s">
        <v>33</v>
      </c>
      <c r="F254" t="s">
        <v>287</v>
      </c>
      <c r="G254">
        <v>46.648490000000002</v>
      </c>
      <c r="H254" t="s">
        <v>35</v>
      </c>
    </row>
    <row r="255" spans="1:8" x14ac:dyDescent="0.2">
      <c r="A255" t="s">
        <v>640</v>
      </c>
      <c r="B255" t="s">
        <v>30</v>
      </c>
      <c r="C255" t="s">
        <v>31</v>
      </c>
      <c r="D255" t="s">
        <v>32</v>
      </c>
      <c r="E255" t="s">
        <v>33</v>
      </c>
      <c r="F255" t="s">
        <v>288</v>
      </c>
      <c r="G255">
        <v>47.008749999999999</v>
      </c>
      <c r="H255" t="s">
        <v>35</v>
      </c>
    </row>
    <row r="256" spans="1:8" x14ac:dyDescent="0.2">
      <c r="A256" t="s">
        <v>640</v>
      </c>
      <c r="B256" t="s">
        <v>30</v>
      </c>
      <c r="C256" t="s">
        <v>31</v>
      </c>
      <c r="D256" t="s">
        <v>32</v>
      </c>
      <c r="E256" t="s">
        <v>33</v>
      </c>
      <c r="F256" t="s">
        <v>289</v>
      </c>
      <c r="G256">
        <v>48.030810000000002</v>
      </c>
      <c r="H256" t="s">
        <v>35</v>
      </c>
    </row>
    <row r="257" spans="1:8" x14ac:dyDescent="0.2">
      <c r="A257" t="s">
        <v>640</v>
      </c>
      <c r="B257" t="s">
        <v>30</v>
      </c>
      <c r="C257" t="s">
        <v>31</v>
      </c>
      <c r="D257" t="s">
        <v>32</v>
      </c>
      <c r="E257" t="s">
        <v>33</v>
      </c>
      <c r="F257" t="s">
        <v>290</v>
      </c>
      <c r="G257">
        <v>48.848860000000002</v>
      </c>
      <c r="H257" t="s">
        <v>35</v>
      </c>
    </row>
    <row r="258" spans="1:8" x14ac:dyDescent="0.2">
      <c r="A258" t="s">
        <v>640</v>
      </c>
      <c r="B258" t="s">
        <v>30</v>
      </c>
      <c r="C258" t="s">
        <v>31</v>
      </c>
      <c r="D258" t="s">
        <v>32</v>
      </c>
      <c r="E258" t="s">
        <v>33</v>
      </c>
      <c r="F258" t="s">
        <v>291</v>
      </c>
      <c r="G258">
        <v>49.120539999999998</v>
      </c>
      <c r="H258" t="s">
        <v>35</v>
      </c>
    </row>
    <row r="259" spans="1:8" x14ac:dyDescent="0.2">
      <c r="A259" t="s">
        <v>640</v>
      </c>
      <c r="B259" t="s">
        <v>30</v>
      </c>
      <c r="C259" t="s">
        <v>31</v>
      </c>
      <c r="D259" t="s">
        <v>32</v>
      </c>
      <c r="E259" t="s">
        <v>33</v>
      </c>
      <c r="F259" t="s">
        <v>292</v>
      </c>
      <c r="G259">
        <v>49.460900000000002</v>
      </c>
      <c r="H259" t="s">
        <v>35</v>
      </c>
    </row>
    <row r="260" spans="1:8" x14ac:dyDescent="0.2">
      <c r="A260" t="s">
        <v>640</v>
      </c>
      <c r="B260" t="s">
        <v>30</v>
      </c>
      <c r="C260" t="s">
        <v>31</v>
      </c>
      <c r="D260" t="s">
        <v>32</v>
      </c>
      <c r="E260" t="s">
        <v>33</v>
      </c>
      <c r="F260" t="s">
        <v>293</v>
      </c>
      <c r="G260">
        <v>49.821159999999999</v>
      </c>
      <c r="H260" t="s">
        <v>35</v>
      </c>
    </row>
    <row r="261" spans="1:8" x14ac:dyDescent="0.2">
      <c r="A261" t="s">
        <v>640</v>
      </c>
      <c r="B261" t="s">
        <v>30</v>
      </c>
      <c r="C261" t="s">
        <v>31</v>
      </c>
      <c r="D261" t="s">
        <v>32</v>
      </c>
      <c r="E261" t="s">
        <v>33</v>
      </c>
      <c r="F261" t="s">
        <v>294</v>
      </c>
      <c r="G261">
        <v>50.151560000000003</v>
      </c>
      <c r="H261" t="s">
        <v>35</v>
      </c>
    </row>
    <row r="262" spans="1:8" x14ac:dyDescent="0.2">
      <c r="A262" t="s">
        <v>640</v>
      </c>
      <c r="B262" t="s">
        <v>30</v>
      </c>
      <c r="C262" t="s">
        <v>31</v>
      </c>
      <c r="D262" t="s">
        <v>32</v>
      </c>
      <c r="E262" t="s">
        <v>33</v>
      </c>
      <c r="F262" t="s">
        <v>295</v>
      </c>
      <c r="G262">
        <v>50.379460000000002</v>
      </c>
      <c r="H262" t="s">
        <v>35</v>
      </c>
    </row>
    <row r="263" spans="1:8" x14ac:dyDescent="0.2">
      <c r="A263" t="s">
        <v>640</v>
      </c>
      <c r="B263" t="s">
        <v>30</v>
      </c>
      <c r="C263" t="s">
        <v>31</v>
      </c>
      <c r="D263" t="s">
        <v>32</v>
      </c>
      <c r="E263" t="s">
        <v>33</v>
      </c>
      <c r="F263" t="s">
        <v>296</v>
      </c>
      <c r="G263">
        <v>50.710850000000001</v>
      </c>
      <c r="H263" t="s">
        <v>35</v>
      </c>
    </row>
    <row r="264" spans="1:8" x14ac:dyDescent="0.2">
      <c r="A264" t="s">
        <v>640</v>
      </c>
      <c r="B264" t="s">
        <v>30</v>
      </c>
      <c r="C264" t="s">
        <v>31</v>
      </c>
      <c r="D264" t="s">
        <v>32</v>
      </c>
      <c r="E264" t="s">
        <v>33</v>
      </c>
      <c r="F264" t="s">
        <v>297</v>
      </c>
      <c r="G264">
        <v>50.80838</v>
      </c>
      <c r="H264" t="s">
        <v>35</v>
      </c>
    </row>
    <row r="265" spans="1:8" x14ac:dyDescent="0.2">
      <c r="A265" t="s">
        <v>640</v>
      </c>
      <c r="B265" t="s">
        <v>30</v>
      </c>
      <c r="C265" t="s">
        <v>31</v>
      </c>
      <c r="D265" t="s">
        <v>32</v>
      </c>
      <c r="E265" t="s">
        <v>33</v>
      </c>
      <c r="F265" t="s">
        <v>298</v>
      </c>
      <c r="G265">
        <v>51.092010000000002</v>
      </c>
      <c r="H265" t="s">
        <v>35</v>
      </c>
    </row>
    <row r="266" spans="1:8" x14ac:dyDescent="0.2">
      <c r="A266" t="s">
        <v>640</v>
      </c>
      <c r="B266" t="s">
        <v>30</v>
      </c>
      <c r="C266" t="s">
        <v>31</v>
      </c>
      <c r="D266" t="s">
        <v>32</v>
      </c>
      <c r="E266" t="s">
        <v>33</v>
      </c>
      <c r="F266" t="s">
        <v>299</v>
      </c>
      <c r="G266">
        <v>51.341799999999999</v>
      </c>
      <c r="H266" t="s">
        <v>35</v>
      </c>
    </row>
    <row r="267" spans="1:8" x14ac:dyDescent="0.2">
      <c r="A267" t="s">
        <v>640</v>
      </c>
      <c r="B267" t="s">
        <v>30</v>
      </c>
      <c r="C267" t="s">
        <v>31</v>
      </c>
      <c r="D267" t="s">
        <v>32</v>
      </c>
      <c r="E267" t="s">
        <v>33</v>
      </c>
      <c r="F267" t="s">
        <v>300</v>
      </c>
      <c r="G267">
        <v>51.651310000000002</v>
      </c>
      <c r="H267" t="s">
        <v>35</v>
      </c>
    </row>
    <row r="268" spans="1:8" x14ac:dyDescent="0.2">
      <c r="A268" t="s">
        <v>640</v>
      </c>
      <c r="B268" t="s">
        <v>30</v>
      </c>
      <c r="C268" t="s">
        <v>31</v>
      </c>
      <c r="D268" t="s">
        <v>32</v>
      </c>
      <c r="E268" t="s">
        <v>33</v>
      </c>
      <c r="F268" t="s">
        <v>301</v>
      </c>
      <c r="G268">
        <v>52.549959999999999</v>
      </c>
      <c r="H268" t="s">
        <v>35</v>
      </c>
    </row>
    <row r="269" spans="1:8" x14ac:dyDescent="0.2">
      <c r="A269" t="s">
        <v>640</v>
      </c>
      <c r="B269" t="s">
        <v>30</v>
      </c>
      <c r="C269" t="s">
        <v>31</v>
      </c>
      <c r="D269" t="s">
        <v>32</v>
      </c>
      <c r="E269" t="s">
        <v>33</v>
      </c>
      <c r="F269" t="s">
        <v>302</v>
      </c>
      <c r="G269">
        <v>53.162010000000002</v>
      </c>
      <c r="H269" t="s">
        <v>35</v>
      </c>
    </row>
    <row r="270" spans="1:8" x14ac:dyDescent="0.2">
      <c r="A270" t="s">
        <v>640</v>
      </c>
      <c r="B270" t="s">
        <v>30</v>
      </c>
      <c r="C270" t="s">
        <v>31</v>
      </c>
      <c r="D270" t="s">
        <v>32</v>
      </c>
      <c r="E270" t="s">
        <v>33</v>
      </c>
      <c r="F270" t="s">
        <v>303</v>
      </c>
      <c r="G270">
        <v>53.670549999999999</v>
      </c>
      <c r="H270" t="s">
        <v>35</v>
      </c>
    </row>
    <row r="271" spans="1:8" x14ac:dyDescent="0.2">
      <c r="A271" t="s">
        <v>640</v>
      </c>
      <c r="B271" t="s">
        <v>30</v>
      </c>
      <c r="C271" t="s">
        <v>31</v>
      </c>
      <c r="D271" t="s">
        <v>32</v>
      </c>
      <c r="E271" t="s">
        <v>33</v>
      </c>
      <c r="F271" t="s">
        <v>304</v>
      </c>
      <c r="G271">
        <v>54.485610000000001</v>
      </c>
      <c r="H271" t="s">
        <v>35</v>
      </c>
    </row>
    <row r="272" spans="1:8" x14ac:dyDescent="0.2">
      <c r="A272" t="s">
        <v>640</v>
      </c>
      <c r="B272" t="s">
        <v>30</v>
      </c>
      <c r="C272" t="s">
        <v>31</v>
      </c>
      <c r="D272" t="s">
        <v>32</v>
      </c>
      <c r="E272" t="s">
        <v>33</v>
      </c>
      <c r="F272" t="s">
        <v>305</v>
      </c>
      <c r="G272">
        <v>54.959319999999998</v>
      </c>
      <c r="H272" t="s">
        <v>35</v>
      </c>
    </row>
    <row r="273" spans="1:8" x14ac:dyDescent="0.2">
      <c r="A273" t="s">
        <v>640</v>
      </c>
      <c r="B273" t="s">
        <v>30</v>
      </c>
      <c r="C273" t="s">
        <v>31</v>
      </c>
      <c r="D273" t="s">
        <v>32</v>
      </c>
      <c r="E273" t="s">
        <v>33</v>
      </c>
      <c r="F273" t="s">
        <v>306</v>
      </c>
      <c r="G273">
        <v>55.175269999999998</v>
      </c>
      <c r="H273" t="s">
        <v>35</v>
      </c>
    </row>
    <row r="274" spans="1:8" x14ac:dyDescent="0.2">
      <c r="A274" t="s">
        <v>640</v>
      </c>
      <c r="B274" t="s">
        <v>30</v>
      </c>
      <c r="C274" t="s">
        <v>31</v>
      </c>
      <c r="D274" t="s">
        <v>32</v>
      </c>
      <c r="E274" t="s">
        <v>33</v>
      </c>
      <c r="F274" t="s">
        <v>307</v>
      </c>
      <c r="G274">
        <v>55.41113</v>
      </c>
      <c r="H274" t="s">
        <v>35</v>
      </c>
    </row>
    <row r="275" spans="1:8" x14ac:dyDescent="0.2">
      <c r="A275" t="s">
        <v>640</v>
      </c>
      <c r="B275" t="s">
        <v>30</v>
      </c>
      <c r="C275" t="s">
        <v>31</v>
      </c>
      <c r="D275" t="s">
        <v>32</v>
      </c>
      <c r="E275" t="s">
        <v>33</v>
      </c>
      <c r="F275" t="s">
        <v>308</v>
      </c>
      <c r="G275">
        <v>55.658940000000001</v>
      </c>
      <c r="H275" t="s">
        <v>35</v>
      </c>
    </row>
    <row r="276" spans="1:8" x14ac:dyDescent="0.2">
      <c r="A276" t="s">
        <v>640</v>
      </c>
      <c r="B276" t="s">
        <v>30</v>
      </c>
      <c r="C276" t="s">
        <v>31</v>
      </c>
      <c r="D276" t="s">
        <v>32</v>
      </c>
      <c r="E276" t="s">
        <v>33</v>
      </c>
      <c r="F276" t="s">
        <v>309</v>
      </c>
      <c r="G276">
        <v>55.66789</v>
      </c>
      <c r="H276" t="s">
        <v>35</v>
      </c>
    </row>
    <row r="277" spans="1:8" x14ac:dyDescent="0.2">
      <c r="A277" t="s">
        <v>640</v>
      </c>
      <c r="B277" t="s">
        <v>30</v>
      </c>
      <c r="C277" t="s">
        <v>31</v>
      </c>
      <c r="D277" t="s">
        <v>32</v>
      </c>
      <c r="E277" t="s">
        <v>33</v>
      </c>
      <c r="F277" t="s">
        <v>310</v>
      </c>
      <c r="G277">
        <v>55.859960000000001</v>
      </c>
      <c r="H277" t="s">
        <v>35</v>
      </c>
    </row>
    <row r="278" spans="1:8" x14ac:dyDescent="0.2">
      <c r="A278" t="s">
        <v>640</v>
      </c>
      <c r="B278" t="s">
        <v>30</v>
      </c>
      <c r="C278" t="s">
        <v>31</v>
      </c>
      <c r="D278" t="s">
        <v>32</v>
      </c>
      <c r="E278" t="s">
        <v>33</v>
      </c>
      <c r="F278" t="s">
        <v>311</v>
      </c>
      <c r="G278">
        <v>56.045070000000003</v>
      </c>
      <c r="H278" t="s">
        <v>35</v>
      </c>
    </row>
    <row r="279" spans="1:8" x14ac:dyDescent="0.2">
      <c r="A279" t="s">
        <v>640</v>
      </c>
      <c r="B279" t="s">
        <v>30</v>
      </c>
      <c r="C279" t="s">
        <v>31</v>
      </c>
      <c r="D279" t="s">
        <v>32</v>
      </c>
      <c r="E279" t="s">
        <v>33</v>
      </c>
      <c r="F279" t="s">
        <v>312</v>
      </c>
      <c r="G279">
        <v>56.263019999999997</v>
      </c>
      <c r="H279" t="s">
        <v>35</v>
      </c>
    </row>
    <row r="280" spans="1:8" x14ac:dyDescent="0.2">
      <c r="A280" t="s">
        <v>640</v>
      </c>
      <c r="B280" t="s">
        <v>30</v>
      </c>
      <c r="C280" t="s">
        <v>31</v>
      </c>
      <c r="D280" t="s">
        <v>32</v>
      </c>
      <c r="E280" t="s">
        <v>33</v>
      </c>
      <c r="F280" t="s">
        <v>313</v>
      </c>
      <c r="G280">
        <v>57.071109999999997</v>
      </c>
      <c r="H280" t="s">
        <v>35</v>
      </c>
    </row>
    <row r="281" spans="1:8" x14ac:dyDescent="0.2">
      <c r="A281" t="s">
        <v>640</v>
      </c>
      <c r="B281" t="s">
        <v>30</v>
      </c>
      <c r="C281" t="s">
        <v>31</v>
      </c>
      <c r="D281" t="s">
        <v>32</v>
      </c>
      <c r="E281" t="s">
        <v>33</v>
      </c>
      <c r="F281" t="s">
        <v>314</v>
      </c>
      <c r="G281">
        <v>57.497050000000002</v>
      </c>
      <c r="H281" t="s">
        <v>35</v>
      </c>
    </row>
    <row r="282" spans="1:8" x14ac:dyDescent="0.2">
      <c r="A282" t="s">
        <v>640</v>
      </c>
      <c r="B282" t="s">
        <v>30</v>
      </c>
      <c r="C282" t="s">
        <v>31</v>
      </c>
      <c r="D282" t="s">
        <v>32</v>
      </c>
      <c r="E282" t="s">
        <v>33</v>
      </c>
      <c r="F282" t="s">
        <v>315</v>
      </c>
      <c r="G282">
        <v>57.727930000000001</v>
      </c>
      <c r="H282" t="s">
        <v>35</v>
      </c>
    </row>
    <row r="283" spans="1:8" x14ac:dyDescent="0.2">
      <c r="A283" t="s">
        <v>640</v>
      </c>
      <c r="B283" t="s">
        <v>30</v>
      </c>
      <c r="C283" t="s">
        <v>31</v>
      </c>
      <c r="D283" t="s">
        <v>32</v>
      </c>
      <c r="E283" t="s">
        <v>33</v>
      </c>
      <c r="F283" t="s">
        <v>316</v>
      </c>
      <c r="G283">
        <v>58.054360000000003</v>
      </c>
      <c r="H283" t="s">
        <v>35</v>
      </c>
    </row>
    <row r="284" spans="1:8" x14ac:dyDescent="0.2">
      <c r="A284" t="s">
        <v>640</v>
      </c>
      <c r="B284" t="s">
        <v>30</v>
      </c>
      <c r="C284" t="s">
        <v>31</v>
      </c>
      <c r="D284" t="s">
        <v>32</v>
      </c>
      <c r="E284" t="s">
        <v>33</v>
      </c>
      <c r="F284" t="s">
        <v>317</v>
      </c>
      <c r="G284">
        <v>58.326039999999999</v>
      </c>
      <c r="H284" t="s">
        <v>35</v>
      </c>
    </row>
    <row r="285" spans="1:8" x14ac:dyDescent="0.2">
      <c r="A285" t="s">
        <v>640</v>
      </c>
      <c r="B285" t="s">
        <v>30</v>
      </c>
      <c r="C285" t="s">
        <v>31</v>
      </c>
      <c r="D285" t="s">
        <v>32</v>
      </c>
      <c r="E285" t="s">
        <v>33</v>
      </c>
      <c r="F285" t="s">
        <v>318</v>
      </c>
      <c r="G285">
        <v>58.459400000000002</v>
      </c>
      <c r="H285" t="s">
        <v>35</v>
      </c>
    </row>
    <row r="286" spans="1:8" x14ac:dyDescent="0.2">
      <c r="A286" t="s">
        <v>640</v>
      </c>
      <c r="B286" t="s">
        <v>30</v>
      </c>
      <c r="C286" t="s">
        <v>31</v>
      </c>
      <c r="D286" t="s">
        <v>32</v>
      </c>
      <c r="E286" t="s">
        <v>33</v>
      </c>
      <c r="F286" t="s">
        <v>319</v>
      </c>
      <c r="G286">
        <v>58.80274</v>
      </c>
      <c r="H286" t="s">
        <v>35</v>
      </c>
    </row>
    <row r="287" spans="1:8" x14ac:dyDescent="0.2">
      <c r="A287" t="s">
        <v>640</v>
      </c>
      <c r="B287" t="s">
        <v>30</v>
      </c>
      <c r="C287" t="s">
        <v>31</v>
      </c>
      <c r="D287" t="s">
        <v>32</v>
      </c>
      <c r="E287" t="s">
        <v>33</v>
      </c>
      <c r="F287" t="s">
        <v>320</v>
      </c>
      <c r="G287">
        <v>59.030639999999998</v>
      </c>
      <c r="H287" t="s">
        <v>35</v>
      </c>
    </row>
    <row r="288" spans="1:8" x14ac:dyDescent="0.2">
      <c r="A288" t="s">
        <v>640</v>
      </c>
      <c r="B288" t="s">
        <v>30</v>
      </c>
      <c r="C288" t="s">
        <v>31</v>
      </c>
      <c r="D288" t="s">
        <v>32</v>
      </c>
      <c r="E288" t="s">
        <v>33</v>
      </c>
      <c r="F288" t="s">
        <v>321</v>
      </c>
      <c r="G288">
        <v>59.198819999999998</v>
      </c>
      <c r="H288" t="s">
        <v>35</v>
      </c>
    </row>
    <row r="289" spans="1:8" x14ac:dyDescent="0.2">
      <c r="A289" t="s">
        <v>640</v>
      </c>
      <c r="B289" t="s">
        <v>30</v>
      </c>
      <c r="C289" t="s">
        <v>31</v>
      </c>
      <c r="D289" t="s">
        <v>32</v>
      </c>
      <c r="E289" t="s">
        <v>33</v>
      </c>
      <c r="F289" t="s">
        <v>322</v>
      </c>
      <c r="G289">
        <v>59.51529</v>
      </c>
      <c r="H289" t="s">
        <v>35</v>
      </c>
    </row>
    <row r="290" spans="1:8" x14ac:dyDescent="0.2">
      <c r="A290" t="s">
        <v>640</v>
      </c>
      <c r="B290" t="s">
        <v>30</v>
      </c>
      <c r="C290" t="s">
        <v>31</v>
      </c>
      <c r="D290" t="s">
        <v>32</v>
      </c>
      <c r="E290" t="s">
        <v>33</v>
      </c>
      <c r="F290" t="s">
        <v>323</v>
      </c>
      <c r="G290">
        <v>59.8855</v>
      </c>
      <c r="H290" t="s">
        <v>35</v>
      </c>
    </row>
    <row r="291" spans="1:8" x14ac:dyDescent="0.2">
      <c r="A291" t="s">
        <v>640</v>
      </c>
      <c r="B291" t="s">
        <v>30</v>
      </c>
      <c r="C291" t="s">
        <v>31</v>
      </c>
      <c r="D291" t="s">
        <v>32</v>
      </c>
      <c r="E291" t="s">
        <v>33</v>
      </c>
      <c r="F291" t="s">
        <v>324</v>
      </c>
      <c r="G291">
        <v>60.038760000000003</v>
      </c>
      <c r="H291" t="s">
        <v>35</v>
      </c>
    </row>
    <row r="292" spans="1:8" x14ac:dyDescent="0.2">
      <c r="A292" t="s">
        <v>640</v>
      </c>
      <c r="B292" t="s">
        <v>30</v>
      </c>
      <c r="C292" t="s">
        <v>31</v>
      </c>
      <c r="D292" t="s">
        <v>32</v>
      </c>
      <c r="E292" t="s">
        <v>33</v>
      </c>
      <c r="F292" t="s">
        <v>325</v>
      </c>
      <c r="G292">
        <v>60.772219999999997</v>
      </c>
      <c r="H292" t="s">
        <v>35</v>
      </c>
    </row>
    <row r="293" spans="1:8" x14ac:dyDescent="0.2">
      <c r="A293" t="s">
        <v>640</v>
      </c>
      <c r="B293" t="s">
        <v>30</v>
      </c>
      <c r="C293" t="s">
        <v>31</v>
      </c>
      <c r="D293" t="s">
        <v>32</v>
      </c>
      <c r="E293" t="s">
        <v>33</v>
      </c>
      <c r="F293" t="s">
        <v>326</v>
      </c>
      <c r="G293">
        <v>61.1066</v>
      </c>
      <c r="H293" t="s">
        <v>35</v>
      </c>
    </row>
    <row r="294" spans="1:8" x14ac:dyDescent="0.2">
      <c r="A294" t="s">
        <v>640</v>
      </c>
      <c r="B294" t="s">
        <v>30</v>
      </c>
      <c r="C294" t="s">
        <v>31</v>
      </c>
      <c r="D294" t="s">
        <v>32</v>
      </c>
      <c r="E294" t="s">
        <v>33</v>
      </c>
      <c r="F294" t="s">
        <v>327</v>
      </c>
      <c r="G294">
        <v>61.245930000000001</v>
      </c>
      <c r="H294" t="s">
        <v>35</v>
      </c>
    </row>
    <row r="295" spans="1:8" x14ac:dyDescent="0.2">
      <c r="A295" t="s">
        <v>640</v>
      </c>
      <c r="B295" t="s">
        <v>30</v>
      </c>
      <c r="C295" t="s">
        <v>31</v>
      </c>
      <c r="D295" t="s">
        <v>32</v>
      </c>
      <c r="E295" t="s">
        <v>33</v>
      </c>
      <c r="F295" t="s">
        <v>328</v>
      </c>
      <c r="G295">
        <v>61.59225</v>
      </c>
      <c r="H295" t="s">
        <v>35</v>
      </c>
    </row>
    <row r="296" spans="1:8" x14ac:dyDescent="0.2">
      <c r="A296" t="s">
        <v>640</v>
      </c>
      <c r="B296" t="s">
        <v>30</v>
      </c>
      <c r="C296" t="s">
        <v>31</v>
      </c>
      <c r="D296" t="s">
        <v>32</v>
      </c>
      <c r="E296" t="s">
        <v>33</v>
      </c>
      <c r="F296" t="s">
        <v>329</v>
      </c>
      <c r="G296">
        <v>61.730580000000003</v>
      </c>
      <c r="H296" t="s">
        <v>35</v>
      </c>
    </row>
    <row r="297" spans="1:8" x14ac:dyDescent="0.2">
      <c r="A297" t="s">
        <v>640</v>
      </c>
      <c r="B297" t="s">
        <v>30</v>
      </c>
      <c r="C297" t="s">
        <v>31</v>
      </c>
      <c r="D297" t="s">
        <v>32</v>
      </c>
      <c r="E297" t="s">
        <v>33</v>
      </c>
      <c r="F297" t="s">
        <v>330</v>
      </c>
      <c r="G297">
        <v>61.817169999999997</v>
      </c>
      <c r="H297" t="s">
        <v>35</v>
      </c>
    </row>
    <row r="298" spans="1:8" x14ac:dyDescent="0.2">
      <c r="A298" t="s">
        <v>640</v>
      </c>
      <c r="B298" t="s">
        <v>30</v>
      </c>
      <c r="C298" t="s">
        <v>31</v>
      </c>
      <c r="D298" t="s">
        <v>32</v>
      </c>
      <c r="E298" t="s">
        <v>33</v>
      </c>
      <c r="F298" t="s">
        <v>331</v>
      </c>
      <c r="G298">
        <v>61.921660000000003</v>
      </c>
      <c r="H298" t="s">
        <v>35</v>
      </c>
    </row>
    <row r="299" spans="1:8" x14ac:dyDescent="0.2">
      <c r="A299" t="s">
        <v>640</v>
      </c>
      <c r="B299" t="s">
        <v>30</v>
      </c>
      <c r="C299" t="s">
        <v>31</v>
      </c>
      <c r="D299" t="s">
        <v>32</v>
      </c>
      <c r="E299" t="s">
        <v>33</v>
      </c>
      <c r="F299" t="s">
        <v>332</v>
      </c>
      <c r="G299">
        <v>62.036110000000001</v>
      </c>
      <c r="H299" t="s">
        <v>35</v>
      </c>
    </row>
    <row r="300" spans="1:8" x14ac:dyDescent="0.2">
      <c r="A300" t="s">
        <v>640</v>
      </c>
      <c r="B300" t="s">
        <v>30</v>
      </c>
      <c r="C300" t="s">
        <v>31</v>
      </c>
      <c r="D300" t="s">
        <v>32</v>
      </c>
      <c r="E300" t="s">
        <v>33</v>
      </c>
      <c r="F300" t="s">
        <v>333</v>
      </c>
      <c r="G300">
        <v>62.092829999999999</v>
      </c>
      <c r="H300" t="s">
        <v>35</v>
      </c>
    </row>
    <row r="301" spans="1:8" x14ac:dyDescent="0.2">
      <c r="A301" t="s">
        <v>640</v>
      </c>
      <c r="B301" t="s">
        <v>30</v>
      </c>
      <c r="C301" t="s">
        <v>31</v>
      </c>
      <c r="D301" t="s">
        <v>32</v>
      </c>
      <c r="E301" t="s">
        <v>33</v>
      </c>
      <c r="F301" t="s">
        <v>334</v>
      </c>
      <c r="G301">
        <v>62.33267</v>
      </c>
      <c r="H301" t="s">
        <v>35</v>
      </c>
    </row>
    <row r="302" spans="1:8" x14ac:dyDescent="0.2">
      <c r="A302" t="s">
        <v>640</v>
      </c>
      <c r="B302" t="s">
        <v>30</v>
      </c>
      <c r="C302" t="s">
        <v>31</v>
      </c>
      <c r="D302" t="s">
        <v>32</v>
      </c>
      <c r="E302" t="s">
        <v>33</v>
      </c>
      <c r="F302" t="s">
        <v>335</v>
      </c>
      <c r="G302">
        <v>62.454090000000001</v>
      </c>
      <c r="H302" t="s">
        <v>35</v>
      </c>
    </row>
    <row r="303" spans="1:8" x14ac:dyDescent="0.2">
      <c r="A303" t="s">
        <v>640</v>
      </c>
      <c r="B303" t="s">
        <v>30</v>
      </c>
      <c r="C303" t="s">
        <v>31</v>
      </c>
      <c r="D303" t="s">
        <v>32</v>
      </c>
      <c r="E303" t="s">
        <v>33</v>
      </c>
      <c r="F303" t="s">
        <v>336</v>
      </c>
      <c r="G303">
        <v>62.644170000000003</v>
      </c>
      <c r="H303" t="s">
        <v>35</v>
      </c>
    </row>
    <row r="304" spans="1:8" x14ac:dyDescent="0.2">
      <c r="A304" t="s">
        <v>640</v>
      </c>
      <c r="B304" t="s">
        <v>30</v>
      </c>
      <c r="C304" t="s">
        <v>31</v>
      </c>
      <c r="D304" t="s">
        <v>32</v>
      </c>
      <c r="E304" t="s">
        <v>33</v>
      </c>
      <c r="F304" t="s">
        <v>337</v>
      </c>
      <c r="G304">
        <v>63.539839999999998</v>
      </c>
      <c r="H304" t="s">
        <v>35</v>
      </c>
    </row>
    <row r="305" spans="1:8" x14ac:dyDescent="0.2">
      <c r="A305" t="s">
        <v>640</v>
      </c>
      <c r="B305" t="s">
        <v>30</v>
      </c>
      <c r="C305" t="s">
        <v>31</v>
      </c>
      <c r="D305" t="s">
        <v>32</v>
      </c>
      <c r="E305" t="s">
        <v>33</v>
      </c>
      <c r="F305" t="s">
        <v>338</v>
      </c>
      <c r="G305">
        <v>63.902090000000001</v>
      </c>
      <c r="H305" t="s">
        <v>35</v>
      </c>
    </row>
    <row r="306" spans="1:8" x14ac:dyDescent="0.2">
      <c r="A306" t="s">
        <v>640</v>
      </c>
      <c r="B306" t="s">
        <v>30</v>
      </c>
      <c r="C306" t="s">
        <v>31</v>
      </c>
      <c r="D306" t="s">
        <v>32</v>
      </c>
      <c r="E306" t="s">
        <v>33</v>
      </c>
      <c r="F306" t="s">
        <v>339</v>
      </c>
      <c r="G306">
        <v>64.199650000000005</v>
      </c>
      <c r="H306" t="s">
        <v>35</v>
      </c>
    </row>
    <row r="307" spans="1:8" x14ac:dyDescent="0.2">
      <c r="A307" t="s">
        <v>640</v>
      </c>
      <c r="B307" t="s">
        <v>30</v>
      </c>
      <c r="C307" t="s">
        <v>31</v>
      </c>
      <c r="D307" t="s">
        <v>32</v>
      </c>
      <c r="E307" t="s">
        <v>33</v>
      </c>
      <c r="F307" t="s">
        <v>340</v>
      </c>
      <c r="G307">
        <v>64.476309999999998</v>
      </c>
      <c r="H307" t="s">
        <v>35</v>
      </c>
    </row>
    <row r="308" spans="1:8" x14ac:dyDescent="0.2">
      <c r="A308" t="s">
        <v>640</v>
      </c>
      <c r="B308" t="s">
        <v>30</v>
      </c>
      <c r="C308" t="s">
        <v>31</v>
      </c>
      <c r="D308" t="s">
        <v>32</v>
      </c>
      <c r="E308" t="s">
        <v>33</v>
      </c>
      <c r="F308" t="s">
        <v>341</v>
      </c>
      <c r="G308">
        <v>64.426550000000006</v>
      </c>
      <c r="H308" t="s">
        <v>35</v>
      </c>
    </row>
    <row r="309" spans="1:8" x14ac:dyDescent="0.2">
      <c r="A309" t="s">
        <v>640</v>
      </c>
      <c r="B309" t="s">
        <v>30</v>
      </c>
      <c r="C309" t="s">
        <v>31</v>
      </c>
      <c r="D309" t="s">
        <v>32</v>
      </c>
      <c r="E309" t="s">
        <v>33</v>
      </c>
      <c r="F309" t="s">
        <v>342</v>
      </c>
      <c r="G309">
        <v>64.28922</v>
      </c>
      <c r="H309" t="s">
        <v>35</v>
      </c>
    </row>
    <row r="310" spans="1:8" x14ac:dyDescent="0.2">
      <c r="A310" t="s">
        <v>640</v>
      </c>
      <c r="B310" t="s">
        <v>30</v>
      </c>
      <c r="C310" t="s">
        <v>31</v>
      </c>
      <c r="D310" t="s">
        <v>32</v>
      </c>
      <c r="E310" t="s">
        <v>33</v>
      </c>
      <c r="F310" t="s">
        <v>343</v>
      </c>
      <c r="G310">
        <v>64.310109999999995</v>
      </c>
      <c r="H310" t="s">
        <v>35</v>
      </c>
    </row>
    <row r="311" spans="1:8" x14ac:dyDescent="0.2">
      <c r="A311" t="s">
        <v>640</v>
      </c>
      <c r="B311" t="s">
        <v>30</v>
      </c>
      <c r="C311" t="s">
        <v>31</v>
      </c>
      <c r="D311" t="s">
        <v>32</v>
      </c>
      <c r="E311" t="s">
        <v>33</v>
      </c>
      <c r="F311" t="s">
        <v>344</v>
      </c>
      <c r="G311">
        <v>64.576830000000001</v>
      </c>
      <c r="H311" t="s">
        <v>35</v>
      </c>
    </row>
    <row r="312" spans="1:8" x14ac:dyDescent="0.2">
      <c r="A312" t="s">
        <v>640</v>
      </c>
      <c r="B312" t="s">
        <v>30</v>
      </c>
      <c r="C312" t="s">
        <v>31</v>
      </c>
      <c r="D312" t="s">
        <v>32</v>
      </c>
      <c r="E312" t="s">
        <v>33</v>
      </c>
      <c r="F312" t="s">
        <v>345</v>
      </c>
      <c r="G312">
        <v>64.664400000000001</v>
      </c>
      <c r="H312" t="s">
        <v>35</v>
      </c>
    </row>
    <row r="313" spans="1:8" x14ac:dyDescent="0.2">
      <c r="A313" t="s">
        <v>640</v>
      </c>
      <c r="B313" t="s">
        <v>30</v>
      </c>
      <c r="C313" t="s">
        <v>31</v>
      </c>
      <c r="D313" t="s">
        <v>32</v>
      </c>
      <c r="E313" t="s">
        <v>33</v>
      </c>
      <c r="F313" t="s">
        <v>346</v>
      </c>
      <c r="G313">
        <v>64.886330000000001</v>
      </c>
      <c r="H313" t="s">
        <v>35</v>
      </c>
    </row>
    <row r="314" spans="1:8" x14ac:dyDescent="0.2">
      <c r="A314" t="s">
        <v>640</v>
      </c>
      <c r="B314" t="s">
        <v>30</v>
      </c>
      <c r="C314" t="s">
        <v>31</v>
      </c>
      <c r="D314" t="s">
        <v>32</v>
      </c>
      <c r="E314" t="s">
        <v>33</v>
      </c>
      <c r="F314" t="s">
        <v>347</v>
      </c>
      <c r="G314">
        <v>64.932109999999994</v>
      </c>
      <c r="H314" t="s">
        <v>35</v>
      </c>
    </row>
    <row r="315" spans="1:8" x14ac:dyDescent="0.2">
      <c r="A315" t="s">
        <v>640</v>
      </c>
      <c r="B315" t="s">
        <v>30</v>
      </c>
      <c r="C315" t="s">
        <v>31</v>
      </c>
      <c r="D315" t="s">
        <v>32</v>
      </c>
      <c r="E315" t="s">
        <v>33</v>
      </c>
      <c r="F315" t="s">
        <v>348</v>
      </c>
      <c r="G315">
        <v>64.865430000000003</v>
      </c>
      <c r="H315" t="s">
        <v>35</v>
      </c>
    </row>
    <row r="316" spans="1:8" x14ac:dyDescent="0.2">
      <c r="A316" t="s">
        <v>640</v>
      </c>
      <c r="B316" t="s">
        <v>30</v>
      </c>
      <c r="C316" t="s">
        <v>31</v>
      </c>
      <c r="D316" t="s">
        <v>32</v>
      </c>
      <c r="E316" t="s">
        <v>33</v>
      </c>
      <c r="F316" t="s">
        <v>349</v>
      </c>
      <c r="G316">
        <v>65.167969999999997</v>
      </c>
      <c r="H316" t="s">
        <v>35</v>
      </c>
    </row>
    <row r="317" spans="1:8" x14ac:dyDescent="0.2">
      <c r="A317" t="s">
        <v>640</v>
      </c>
      <c r="B317" t="s">
        <v>30</v>
      </c>
      <c r="C317" t="s">
        <v>31</v>
      </c>
      <c r="D317" t="s">
        <v>32</v>
      </c>
      <c r="E317" t="s">
        <v>33</v>
      </c>
      <c r="F317" t="s">
        <v>350</v>
      </c>
      <c r="G317">
        <v>65.551119999999997</v>
      </c>
      <c r="H317" t="s">
        <v>35</v>
      </c>
    </row>
    <row r="318" spans="1:8" x14ac:dyDescent="0.2">
      <c r="A318" t="s">
        <v>640</v>
      </c>
      <c r="B318" t="s">
        <v>30</v>
      </c>
      <c r="C318" t="s">
        <v>31</v>
      </c>
      <c r="D318" t="s">
        <v>32</v>
      </c>
      <c r="E318" t="s">
        <v>33</v>
      </c>
      <c r="F318" t="s">
        <v>351</v>
      </c>
      <c r="G318">
        <v>65.783000000000001</v>
      </c>
      <c r="H318" t="s">
        <v>35</v>
      </c>
    </row>
    <row r="319" spans="1:8" x14ac:dyDescent="0.2">
      <c r="A319" t="s">
        <v>640</v>
      </c>
      <c r="B319" t="s">
        <v>30</v>
      </c>
      <c r="C319" t="s">
        <v>31</v>
      </c>
      <c r="D319" t="s">
        <v>32</v>
      </c>
      <c r="E319" t="s">
        <v>33</v>
      </c>
      <c r="F319" t="s">
        <v>352</v>
      </c>
      <c r="G319">
        <v>66.311440000000005</v>
      </c>
      <c r="H319" t="s">
        <v>35</v>
      </c>
    </row>
    <row r="320" spans="1:8" x14ac:dyDescent="0.2">
      <c r="A320" t="s">
        <v>640</v>
      </c>
      <c r="B320" t="s">
        <v>30</v>
      </c>
      <c r="C320" t="s">
        <v>31</v>
      </c>
      <c r="D320" t="s">
        <v>32</v>
      </c>
      <c r="E320" t="s">
        <v>33</v>
      </c>
      <c r="F320" t="s">
        <v>353</v>
      </c>
      <c r="G320">
        <v>66.561229999999995</v>
      </c>
      <c r="H320" t="s">
        <v>35</v>
      </c>
    </row>
    <row r="321" spans="1:8" x14ac:dyDescent="0.2">
      <c r="A321" t="s">
        <v>640</v>
      </c>
      <c r="B321" t="s">
        <v>30</v>
      </c>
      <c r="C321" t="s">
        <v>31</v>
      </c>
      <c r="D321" t="s">
        <v>32</v>
      </c>
      <c r="E321" t="s">
        <v>33</v>
      </c>
      <c r="F321" t="s">
        <v>354</v>
      </c>
      <c r="G321">
        <v>66.530379999999994</v>
      </c>
      <c r="H321" t="s">
        <v>35</v>
      </c>
    </row>
    <row r="322" spans="1:8" x14ac:dyDescent="0.2">
      <c r="A322" t="s">
        <v>640</v>
      </c>
      <c r="B322" t="s">
        <v>30</v>
      </c>
      <c r="C322" t="s">
        <v>31</v>
      </c>
      <c r="D322" t="s">
        <v>32</v>
      </c>
      <c r="E322" t="s">
        <v>33</v>
      </c>
      <c r="F322" t="s">
        <v>355</v>
      </c>
      <c r="G322">
        <v>66.628910000000005</v>
      </c>
      <c r="H322" t="s">
        <v>35</v>
      </c>
    </row>
    <row r="323" spans="1:8" x14ac:dyDescent="0.2">
      <c r="A323" t="s">
        <v>640</v>
      </c>
      <c r="B323" t="s">
        <v>30</v>
      </c>
      <c r="C323" t="s">
        <v>31</v>
      </c>
      <c r="D323" t="s">
        <v>32</v>
      </c>
      <c r="E323" t="s">
        <v>33</v>
      </c>
      <c r="F323" t="s">
        <v>356</v>
      </c>
      <c r="G323">
        <v>66.82396</v>
      </c>
      <c r="H323" t="s">
        <v>35</v>
      </c>
    </row>
    <row r="324" spans="1:8" x14ac:dyDescent="0.2">
      <c r="A324" t="s">
        <v>640</v>
      </c>
      <c r="B324" t="s">
        <v>30</v>
      </c>
      <c r="C324" t="s">
        <v>31</v>
      </c>
      <c r="D324" t="s">
        <v>32</v>
      </c>
      <c r="E324" t="s">
        <v>33</v>
      </c>
      <c r="F324" t="s">
        <v>357</v>
      </c>
      <c r="G324">
        <v>66.816990000000004</v>
      </c>
      <c r="H324" t="s">
        <v>35</v>
      </c>
    </row>
    <row r="325" spans="1:8" x14ac:dyDescent="0.2">
      <c r="A325" t="s">
        <v>640</v>
      </c>
      <c r="B325" t="s">
        <v>30</v>
      </c>
      <c r="C325" t="s">
        <v>31</v>
      </c>
      <c r="D325" t="s">
        <v>32</v>
      </c>
      <c r="E325" t="s">
        <v>33</v>
      </c>
      <c r="F325" t="s">
        <v>358</v>
      </c>
      <c r="G325">
        <v>66.780169999999998</v>
      </c>
      <c r="H325" t="s">
        <v>35</v>
      </c>
    </row>
    <row r="326" spans="1:8" x14ac:dyDescent="0.2">
      <c r="A326" t="s">
        <v>640</v>
      </c>
      <c r="B326" t="s">
        <v>30</v>
      </c>
      <c r="C326" t="s">
        <v>31</v>
      </c>
      <c r="D326" t="s">
        <v>32</v>
      </c>
      <c r="E326" t="s">
        <v>33</v>
      </c>
      <c r="F326" t="s">
        <v>359</v>
      </c>
      <c r="G326">
        <v>66.903580000000005</v>
      </c>
      <c r="H326" t="s">
        <v>35</v>
      </c>
    </row>
    <row r="327" spans="1:8" x14ac:dyDescent="0.2">
      <c r="A327" t="s">
        <v>640</v>
      </c>
      <c r="B327" t="s">
        <v>30</v>
      </c>
      <c r="C327" t="s">
        <v>31</v>
      </c>
      <c r="D327" t="s">
        <v>32</v>
      </c>
      <c r="E327" t="s">
        <v>33</v>
      </c>
      <c r="F327" t="s">
        <v>360</v>
      </c>
      <c r="G327">
        <v>66.935419999999993</v>
      </c>
      <c r="H327" t="s">
        <v>35</v>
      </c>
    </row>
    <row r="328" spans="1:8" x14ac:dyDescent="0.2">
      <c r="A328" t="s">
        <v>640</v>
      </c>
      <c r="B328" t="s">
        <v>30</v>
      </c>
      <c r="C328" t="s">
        <v>31</v>
      </c>
      <c r="D328" t="s">
        <v>32</v>
      </c>
      <c r="E328" t="s">
        <v>33</v>
      </c>
      <c r="F328" t="s">
        <v>361</v>
      </c>
      <c r="G328">
        <v>67.341459999999998</v>
      </c>
      <c r="H328" t="s">
        <v>35</v>
      </c>
    </row>
    <row r="329" spans="1:8" x14ac:dyDescent="0.2">
      <c r="A329" t="s">
        <v>640</v>
      </c>
      <c r="B329" t="s">
        <v>30</v>
      </c>
      <c r="C329" t="s">
        <v>31</v>
      </c>
      <c r="D329" t="s">
        <v>32</v>
      </c>
      <c r="E329" t="s">
        <v>33</v>
      </c>
      <c r="F329" t="s">
        <v>362</v>
      </c>
      <c r="G329">
        <v>67.455910000000003</v>
      </c>
      <c r="H329" t="s">
        <v>35</v>
      </c>
    </row>
    <row r="330" spans="1:8" x14ac:dyDescent="0.2">
      <c r="A330" t="s">
        <v>640</v>
      </c>
      <c r="B330" t="s">
        <v>30</v>
      </c>
      <c r="C330" t="s">
        <v>31</v>
      </c>
      <c r="D330" t="s">
        <v>32</v>
      </c>
      <c r="E330" t="s">
        <v>33</v>
      </c>
      <c r="F330" t="s">
        <v>363</v>
      </c>
      <c r="G330">
        <v>67.544479999999993</v>
      </c>
      <c r="H330" t="s">
        <v>35</v>
      </c>
    </row>
    <row r="331" spans="1:8" x14ac:dyDescent="0.2">
      <c r="A331" t="s">
        <v>640</v>
      </c>
      <c r="B331" t="s">
        <v>30</v>
      </c>
      <c r="C331" t="s">
        <v>31</v>
      </c>
      <c r="D331" t="s">
        <v>32</v>
      </c>
      <c r="E331" t="s">
        <v>33</v>
      </c>
      <c r="F331" t="s">
        <v>364</v>
      </c>
      <c r="G331">
        <v>67.652950000000004</v>
      </c>
      <c r="H331" t="s">
        <v>35</v>
      </c>
    </row>
    <row r="332" spans="1:8" x14ac:dyDescent="0.2">
      <c r="A332" t="s">
        <v>640</v>
      </c>
      <c r="B332" t="s">
        <v>30</v>
      </c>
      <c r="C332" t="s">
        <v>31</v>
      </c>
      <c r="D332" t="s">
        <v>32</v>
      </c>
      <c r="E332" t="s">
        <v>33</v>
      </c>
      <c r="F332" t="s">
        <v>365</v>
      </c>
      <c r="G332">
        <v>68.063959999999994</v>
      </c>
      <c r="H332" t="s">
        <v>35</v>
      </c>
    </row>
    <row r="333" spans="1:8" x14ac:dyDescent="0.2">
      <c r="A333" t="s">
        <v>640</v>
      </c>
      <c r="B333" t="s">
        <v>30</v>
      </c>
      <c r="C333" t="s">
        <v>31</v>
      </c>
      <c r="D333" t="s">
        <v>32</v>
      </c>
      <c r="E333" t="s">
        <v>33</v>
      </c>
      <c r="F333" t="s">
        <v>366</v>
      </c>
      <c r="G333">
        <v>67.884829999999994</v>
      </c>
      <c r="H333" t="s">
        <v>35</v>
      </c>
    </row>
    <row r="334" spans="1:8" x14ac:dyDescent="0.2">
      <c r="A334" t="s">
        <v>640</v>
      </c>
      <c r="B334" t="s">
        <v>30</v>
      </c>
      <c r="C334" t="s">
        <v>31</v>
      </c>
      <c r="D334" t="s">
        <v>32</v>
      </c>
      <c r="E334" t="s">
        <v>33</v>
      </c>
      <c r="F334" t="s">
        <v>367</v>
      </c>
      <c r="G334">
        <v>67.903739999999999</v>
      </c>
      <c r="H334" t="s">
        <v>35</v>
      </c>
    </row>
    <row r="335" spans="1:8" x14ac:dyDescent="0.2">
      <c r="A335" t="s">
        <v>640</v>
      </c>
      <c r="B335" t="s">
        <v>30</v>
      </c>
      <c r="C335" t="s">
        <v>31</v>
      </c>
      <c r="D335" t="s">
        <v>32</v>
      </c>
      <c r="E335" t="s">
        <v>33</v>
      </c>
      <c r="F335" t="s">
        <v>368</v>
      </c>
      <c r="G335">
        <v>68.229169999999996</v>
      </c>
      <c r="H335" t="s">
        <v>35</v>
      </c>
    </row>
    <row r="336" spans="1:8" x14ac:dyDescent="0.2">
      <c r="A336" t="s">
        <v>640</v>
      </c>
      <c r="B336" t="s">
        <v>30</v>
      </c>
      <c r="C336" t="s">
        <v>31</v>
      </c>
      <c r="D336" t="s">
        <v>32</v>
      </c>
      <c r="E336" t="s">
        <v>33</v>
      </c>
      <c r="F336" t="s">
        <v>369</v>
      </c>
      <c r="G336">
        <v>68.18638</v>
      </c>
      <c r="H336" t="s">
        <v>35</v>
      </c>
    </row>
    <row r="337" spans="1:8" x14ac:dyDescent="0.2">
      <c r="A337" t="s">
        <v>640</v>
      </c>
      <c r="B337" t="s">
        <v>30</v>
      </c>
      <c r="C337" t="s">
        <v>31</v>
      </c>
      <c r="D337" t="s">
        <v>32</v>
      </c>
      <c r="E337" t="s">
        <v>33</v>
      </c>
      <c r="F337" t="s">
        <v>370</v>
      </c>
      <c r="G337">
        <v>68.149550000000005</v>
      </c>
      <c r="H337" t="s">
        <v>35</v>
      </c>
    </row>
    <row r="338" spans="1:8" x14ac:dyDescent="0.2">
      <c r="A338" t="s">
        <v>640</v>
      </c>
      <c r="B338" t="s">
        <v>30</v>
      </c>
      <c r="C338" t="s">
        <v>31</v>
      </c>
      <c r="D338" t="s">
        <v>32</v>
      </c>
      <c r="E338" t="s">
        <v>33</v>
      </c>
      <c r="F338" t="s">
        <v>371</v>
      </c>
      <c r="G338">
        <v>68.420240000000007</v>
      </c>
      <c r="H338" t="s">
        <v>35</v>
      </c>
    </row>
    <row r="339" spans="1:8" x14ac:dyDescent="0.2">
      <c r="A339" t="s">
        <v>640</v>
      </c>
      <c r="B339" t="s">
        <v>30</v>
      </c>
      <c r="C339" t="s">
        <v>31</v>
      </c>
      <c r="D339" t="s">
        <v>32</v>
      </c>
      <c r="E339" t="s">
        <v>33</v>
      </c>
      <c r="F339" t="s">
        <v>372</v>
      </c>
      <c r="G339">
        <v>68.581469999999996</v>
      </c>
      <c r="H339" t="s">
        <v>35</v>
      </c>
    </row>
    <row r="340" spans="1:8" x14ac:dyDescent="0.2">
      <c r="A340" t="s">
        <v>640</v>
      </c>
      <c r="B340" t="s">
        <v>30</v>
      </c>
      <c r="C340" t="s">
        <v>31</v>
      </c>
      <c r="D340" t="s">
        <v>32</v>
      </c>
      <c r="E340" t="s">
        <v>33</v>
      </c>
      <c r="F340" t="s">
        <v>373</v>
      </c>
      <c r="G340">
        <v>68.674019999999999</v>
      </c>
      <c r="H340" t="s">
        <v>35</v>
      </c>
    </row>
    <row r="341" spans="1:8" x14ac:dyDescent="0.2">
      <c r="A341" t="s">
        <v>640</v>
      </c>
      <c r="B341" t="s">
        <v>30</v>
      </c>
      <c r="C341" t="s">
        <v>31</v>
      </c>
      <c r="D341" t="s">
        <v>32</v>
      </c>
      <c r="E341" t="s">
        <v>33</v>
      </c>
      <c r="F341" t="s">
        <v>374</v>
      </c>
      <c r="G341">
        <v>68.643169999999998</v>
      </c>
      <c r="H341" t="s">
        <v>35</v>
      </c>
    </row>
    <row r="342" spans="1:8" x14ac:dyDescent="0.2">
      <c r="A342" t="s">
        <v>640</v>
      </c>
      <c r="B342" t="s">
        <v>30</v>
      </c>
      <c r="C342" t="s">
        <v>31</v>
      </c>
      <c r="D342" t="s">
        <v>32</v>
      </c>
      <c r="E342" t="s">
        <v>33</v>
      </c>
      <c r="F342" t="s">
        <v>375</v>
      </c>
      <c r="G342">
        <v>68.828270000000003</v>
      </c>
      <c r="H342" t="s">
        <v>35</v>
      </c>
    </row>
    <row r="343" spans="1:8" x14ac:dyDescent="0.2">
      <c r="A343" t="s">
        <v>640</v>
      </c>
      <c r="B343" t="s">
        <v>30</v>
      </c>
      <c r="C343" t="s">
        <v>31</v>
      </c>
      <c r="D343" t="s">
        <v>32</v>
      </c>
      <c r="E343" t="s">
        <v>33</v>
      </c>
      <c r="F343" t="s">
        <v>376</v>
      </c>
      <c r="G343">
        <v>69.319890000000001</v>
      </c>
      <c r="H343" t="s">
        <v>35</v>
      </c>
    </row>
    <row r="344" spans="1:8" x14ac:dyDescent="0.2">
      <c r="A344" t="s">
        <v>640</v>
      </c>
      <c r="B344" t="s">
        <v>30</v>
      </c>
      <c r="C344" t="s">
        <v>31</v>
      </c>
      <c r="D344" t="s">
        <v>32</v>
      </c>
      <c r="E344" t="s">
        <v>33</v>
      </c>
      <c r="F344" t="s">
        <v>377</v>
      </c>
      <c r="G344">
        <v>69.751810000000006</v>
      </c>
      <c r="H344" t="s">
        <v>35</v>
      </c>
    </row>
    <row r="345" spans="1:8" x14ac:dyDescent="0.2">
      <c r="A345" t="s">
        <v>640</v>
      </c>
      <c r="B345" t="s">
        <v>30</v>
      </c>
      <c r="C345" t="s">
        <v>31</v>
      </c>
      <c r="D345" t="s">
        <v>32</v>
      </c>
      <c r="E345" t="s">
        <v>33</v>
      </c>
      <c r="F345" t="s">
        <v>378</v>
      </c>
      <c r="G345">
        <v>69.841380000000001</v>
      </c>
      <c r="H345" t="s">
        <v>35</v>
      </c>
    </row>
    <row r="346" spans="1:8" x14ac:dyDescent="0.2">
      <c r="A346" t="s">
        <v>640</v>
      </c>
      <c r="B346" t="s">
        <v>30</v>
      </c>
      <c r="C346" t="s">
        <v>31</v>
      </c>
      <c r="D346" t="s">
        <v>32</v>
      </c>
      <c r="E346" t="s">
        <v>33</v>
      </c>
      <c r="F346" t="s">
        <v>379</v>
      </c>
      <c r="G346">
        <v>69.986670000000004</v>
      </c>
      <c r="H346" t="s">
        <v>35</v>
      </c>
    </row>
    <row r="347" spans="1:8" x14ac:dyDescent="0.2">
      <c r="A347" t="s">
        <v>640</v>
      </c>
      <c r="B347" t="s">
        <v>30</v>
      </c>
      <c r="C347" t="s">
        <v>31</v>
      </c>
      <c r="D347" t="s">
        <v>32</v>
      </c>
      <c r="E347" t="s">
        <v>33</v>
      </c>
      <c r="F347" t="s">
        <v>380</v>
      </c>
      <c r="G347">
        <v>69.998609999999999</v>
      </c>
      <c r="H347" t="s">
        <v>35</v>
      </c>
    </row>
    <row r="348" spans="1:8" x14ac:dyDescent="0.2">
      <c r="A348" t="s">
        <v>640</v>
      </c>
      <c r="B348" t="s">
        <v>30</v>
      </c>
      <c r="C348" t="s">
        <v>31</v>
      </c>
      <c r="D348" t="s">
        <v>32</v>
      </c>
      <c r="E348" t="s">
        <v>33</v>
      </c>
      <c r="F348" t="s">
        <v>381</v>
      </c>
      <c r="G348">
        <v>69.915019999999998</v>
      </c>
      <c r="H348" t="s">
        <v>35</v>
      </c>
    </row>
    <row r="349" spans="1:8" x14ac:dyDescent="0.2">
      <c r="A349" t="s">
        <v>640</v>
      </c>
      <c r="B349" t="s">
        <v>30</v>
      </c>
      <c r="C349" t="s">
        <v>31</v>
      </c>
      <c r="D349" t="s">
        <v>32</v>
      </c>
      <c r="E349" t="s">
        <v>33</v>
      </c>
      <c r="F349" t="s">
        <v>382</v>
      </c>
      <c r="G349">
        <v>70.164810000000003</v>
      </c>
      <c r="H349" t="s">
        <v>35</v>
      </c>
    </row>
    <row r="350" spans="1:8" x14ac:dyDescent="0.2">
      <c r="A350" t="s">
        <v>640</v>
      </c>
      <c r="B350" t="s">
        <v>30</v>
      </c>
      <c r="C350" t="s">
        <v>31</v>
      </c>
      <c r="D350" t="s">
        <v>32</v>
      </c>
      <c r="E350" t="s">
        <v>33</v>
      </c>
      <c r="F350" t="s">
        <v>383</v>
      </c>
      <c r="G350">
        <v>70.510140000000007</v>
      </c>
      <c r="H350" t="s">
        <v>35</v>
      </c>
    </row>
    <row r="351" spans="1:8" x14ac:dyDescent="0.2">
      <c r="A351" t="s">
        <v>640</v>
      </c>
      <c r="B351" t="s">
        <v>30</v>
      </c>
      <c r="C351" t="s">
        <v>31</v>
      </c>
      <c r="D351" t="s">
        <v>32</v>
      </c>
      <c r="E351" t="s">
        <v>33</v>
      </c>
      <c r="F351" t="s">
        <v>384</v>
      </c>
      <c r="G351">
        <v>70.758939999999996</v>
      </c>
      <c r="H351" t="s">
        <v>35</v>
      </c>
    </row>
    <row r="352" spans="1:8" x14ac:dyDescent="0.2">
      <c r="A352" t="s">
        <v>640</v>
      </c>
      <c r="B352" t="s">
        <v>30</v>
      </c>
      <c r="C352" t="s">
        <v>31</v>
      </c>
      <c r="D352" t="s">
        <v>32</v>
      </c>
      <c r="E352" t="s">
        <v>33</v>
      </c>
      <c r="F352" t="s">
        <v>385</v>
      </c>
      <c r="G352">
        <v>70.526060000000001</v>
      </c>
      <c r="H352" t="s">
        <v>35</v>
      </c>
    </row>
    <row r="353" spans="1:8" x14ac:dyDescent="0.2">
      <c r="A353" t="s">
        <v>640</v>
      </c>
      <c r="B353" t="s">
        <v>30</v>
      </c>
      <c r="C353" t="s">
        <v>31</v>
      </c>
      <c r="D353" t="s">
        <v>32</v>
      </c>
      <c r="E353" t="s">
        <v>33</v>
      </c>
      <c r="F353" t="s">
        <v>386</v>
      </c>
      <c r="G353">
        <v>70.548959999999994</v>
      </c>
      <c r="H353" t="s">
        <v>35</v>
      </c>
    </row>
    <row r="354" spans="1:8" x14ac:dyDescent="0.2">
      <c r="A354" t="s">
        <v>640</v>
      </c>
      <c r="B354" t="s">
        <v>30</v>
      </c>
      <c r="C354" t="s">
        <v>31</v>
      </c>
      <c r="D354" t="s">
        <v>32</v>
      </c>
      <c r="E354" t="s">
        <v>33</v>
      </c>
      <c r="F354" t="s">
        <v>387</v>
      </c>
      <c r="G354">
        <v>70.850489999999994</v>
      </c>
      <c r="H354" t="s">
        <v>35</v>
      </c>
    </row>
    <row r="355" spans="1:8" x14ac:dyDescent="0.2">
      <c r="A355" t="s">
        <v>640</v>
      </c>
      <c r="B355" t="s">
        <v>30</v>
      </c>
      <c r="C355" t="s">
        <v>31</v>
      </c>
      <c r="D355" t="s">
        <v>32</v>
      </c>
      <c r="E355" t="s">
        <v>33</v>
      </c>
      <c r="F355" t="s">
        <v>388</v>
      </c>
      <c r="G355">
        <v>71.301320000000004</v>
      </c>
      <c r="H355" t="s">
        <v>35</v>
      </c>
    </row>
    <row r="356" spans="1:8" x14ac:dyDescent="0.2">
      <c r="A356" t="s">
        <v>640</v>
      </c>
      <c r="B356" t="s">
        <v>30</v>
      </c>
      <c r="C356" t="s">
        <v>31</v>
      </c>
      <c r="D356" t="s">
        <v>32</v>
      </c>
      <c r="E356" t="s">
        <v>33</v>
      </c>
      <c r="F356" t="s">
        <v>389</v>
      </c>
      <c r="G356">
        <v>71.385909999999996</v>
      </c>
      <c r="H356" t="s">
        <v>35</v>
      </c>
    </row>
    <row r="357" spans="1:8" x14ac:dyDescent="0.2">
      <c r="A357" t="s">
        <v>640</v>
      </c>
      <c r="B357" t="s">
        <v>30</v>
      </c>
      <c r="C357" t="s">
        <v>31</v>
      </c>
      <c r="D357" t="s">
        <v>32</v>
      </c>
      <c r="E357" t="s">
        <v>33</v>
      </c>
      <c r="F357" t="s">
        <v>390</v>
      </c>
      <c r="G357">
        <v>71.495379999999997</v>
      </c>
      <c r="H357" t="s">
        <v>35</v>
      </c>
    </row>
    <row r="358" spans="1:8" x14ac:dyDescent="0.2">
      <c r="A358" t="s">
        <v>640</v>
      </c>
      <c r="B358" t="s">
        <v>30</v>
      </c>
      <c r="C358" t="s">
        <v>31</v>
      </c>
      <c r="D358" t="s">
        <v>32</v>
      </c>
      <c r="E358" t="s">
        <v>33</v>
      </c>
      <c r="F358" t="s">
        <v>391</v>
      </c>
      <c r="G358">
        <v>71.47945</v>
      </c>
      <c r="H358" t="s">
        <v>35</v>
      </c>
    </row>
    <row r="359" spans="1:8" x14ac:dyDescent="0.2">
      <c r="A359" t="s">
        <v>640</v>
      </c>
      <c r="B359" t="s">
        <v>30</v>
      </c>
      <c r="C359" t="s">
        <v>31</v>
      </c>
      <c r="D359" t="s">
        <v>32</v>
      </c>
      <c r="E359" t="s">
        <v>33</v>
      </c>
      <c r="F359" t="s">
        <v>392</v>
      </c>
      <c r="G359">
        <v>71.367999999999995</v>
      </c>
      <c r="H359" t="s">
        <v>35</v>
      </c>
    </row>
    <row r="360" spans="1:8" x14ac:dyDescent="0.2">
      <c r="A360" t="s">
        <v>640</v>
      </c>
      <c r="B360" t="s">
        <v>30</v>
      </c>
      <c r="C360" t="s">
        <v>31</v>
      </c>
      <c r="D360" t="s">
        <v>32</v>
      </c>
      <c r="E360" t="s">
        <v>33</v>
      </c>
      <c r="F360" t="s">
        <v>393</v>
      </c>
      <c r="G360">
        <v>71.352069999999998</v>
      </c>
      <c r="H360" t="s">
        <v>35</v>
      </c>
    </row>
    <row r="361" spans="1:8" x14ac:dyDescent="0.2">
      <c r="A361" t="s">
        <v>640</v>
      </c>
      <c r="B361" t="s">
        <v>30</v>
      </c>
      <c r="C361" t="s">
        <v>31</v>
      </c>
      <c r="D361" t="s">
        <v>32</v>
      </c>
      <c r="E361" t="s">
        <v>33</v>
      </c>
      <c r="F361" t="s">
        <v>394</v>
      </c>
      <c r="G361">
        <v>71.54813</v>
      </c>
      <c r="H361" t="s">
        <v>35</v>
      </c>
    </row>
    <row r="362" spans="1:8" x14ac:dyDescent="0.2">
      <c r="A362" t="s">
        <v>640</v>
      </c>
      <c r="B362" t="s">
        <v>30</v>
      </c>
      <c r="C362" t="s">
        <v>31</v>
      </c>
      <c r="D362" t="s">
        <v>32</v>
      </c>
      <c r="E362" t="s">
        <v>33</v>
      </c>
      <c r="F362" t="s">
        <v>395</v>
      </c>
      <c r="G362">
        <v>71.965109999999996</v>
      </c>
      <c r="H362" t="s">
        <v>35</v>
      </c>
    </row>
    <row r="363" spans="1:8" x14ac:dyDescent="0.2">
      <c r="A363" t="s">
        <v>640</v>
      </c>
      <c r="B363" t="s">
        <v>30</v>
      </c>
      <c r="C363" t="s">
        <v>31</v>
      </c>
      <c r="D363" t="s">
        <v>32</v>
      </c>
      <c r="E363" t="s">
        <v>33</v>
      </c>
      <c r="F363" t="s">
        <v>396</v>
      </c>
      <c r="G363">
        <v>72.144239999999996</v>
      </c>
      <c r="H363" t="s">
        <v>35</v>
      </c>
    </row>
    <row r="364" spans="1:8" x14ac:dyDescent="0.2">
      <c r="A364" t="s">
        <v>640</v>
      </c>
      <c r="B364" t="s">
        <v>30</v>
      </c>
      <c r="C364" t="s">
        <v>31</v>
      </c>
      <c r="D364" t="s">
        <v>32</v>
      </c>
      <c r="E364" t="s">
        <v>33</v>
      </c>
      <c r="F364" t="s">
        <v>397</v>
      </c>
      <c r="G364">
        <v>72.002920000000003</v>
      </c>
      <c r="H364" t="s">
        <v>35</v>
      </c>
    </row>
    <row r="365" spans="1:8" x14ac:dyDescent="0.2">
      <c r="A365" t="s">
        <v>640</v>
      </c>
      <c r="B365" t="s">
        <v>30</v>
      </c>
      <c r="C365" t="s">
        <v>31</v>
      </c>
      <c r="D365" t="s">
        <v>32</v>
      </c>
      <c r="E365" t="s">
        <v>33</v>
      </c>
      <c r="F365" t="s">
        <v>398</v>
      </c>
      <c r="G365">
        <v>71.838719999999995</v>
      </c>
      <c r="H365" t="s">
        <v>35</v>
      </c>
    </row>
    <row r="366" spans="1:8" x14ac:dyDescent="0.2">
      <c r="A366" t="s">
        <v>640</v>
      </c>
      <c r="B366" t="s">
        <v>30</v>
      </c>
      <c r="C366" t="s">
        <v>31</v>
      </c>
      <c r="D366" t="s">
        <v>32</v>
      </c>
      <c r="E366" t="s">
        <v>33</v>
      </c>
      <c r="F366" t="s">
        <v>399</v>
      </c>
      <c r="G366">
        <v>71.947199999999995</v>
      </c>
      <c r="H366" t="s">
        <v>35</v>
      </c>
    </row>
    <row r="367" spans="1:8" x14ac:dyDescent="0.2">
      <c r="A367" t="s">
        <v>640</v>
      </c>
      <c r="B367" t="s">
        <v>30</v>
      </c>
      <c r="C367" t="s">
        <v>31</v>
      </c>
      <c r="D367" t="s">
        <v>32</v>
      </c>
      <c r="E367" t="s">
        <v>33</v>
      </c>
      <c r="F367" t="s">
        <v>400</v>
      </c>
      <c r="G367">
        <v>72.786140000000003</v>
      </c>
      <c r="H367" t="s">
        <v>35</v>
      </c>
    </row>
    <row r="368" spans="1:8" x14ac:dyDescent="0.2">
      <c r="A368" t="s">
        <v>640</v>
      </c>
      <c r="B368" t="s">
        <v>30</v>
      </c>
      <c r="C368" t="s">
        <v>31</v>
      </c>
      <c r="D368" t="s">
        <v>32</v>
      </c>
      <c r="E368" t="s">
        <v>33</v>
      </c>
      <c r="F368" t="s">
        <v>401</v>
      </c>
      <c r="G368">
        <v>73.196160000000006</v>
      </c>
      <c r="H368" t="s">
        <v>35</v>
      </c>
    </row>
    <row r="369" spans="1:8" x14ac:dyDescent="0.2">
      <c r="A369" t="s">
        <v>640</v>
      </c>
      <c r="B369" t="s">
        <v>30</v>
      </c>
      <c r="C369" t="s">
        <v>31</v>
      </c>
      <c r="D369" t="s">
        <v>32</v>
      </c>
      <c r="E369" t="s">
        <v>33</v>
      </c>
      <c r="F369" t="s">
        <v>402</v>
      </c>
      <c r="G369">
        <v>73.562389999999994</v>
      </c>
      <c r="H369" t="s">
        <v>35</v>
      </c>
    </row>
    <row r="370" spans="1:8" x14ac:dyDescent="0.2">
      <c r="A370" t="s">
        <v>640</v>
      </c>
      <c r="B370" t="s">
        <v>30</v>
      </c>
      <c r="C370" t="s">
        <v>31</v>
      </c>
      <c r="D370" t="s">
        <v>32</v>
      </c>
      <c r="E370" t="s">
        <v>33</v>
      </c>
      <c r="F370" t="s">
        <v>403</v>
      </c>
      <c r="G370">
        <v>73.804209999999998</v>
      </c>
      <c r="H370" t="s">
        <v>35</v>
      </c>
    </row>
    <row r="371" spans="1:8" x14ac:dyDescent="0.2">
      <c r="A371" t="s">
        <v>640</v>
      </c>
      <c r="B371" t="s">
        <v>30</v>
      </c>
      <c r="C371" t="s">
        <v>31</v>
      </c>
      <c r="D371" t="s">
        <v>32</v>
      </c>
      <c r="E371" t="s">
        <v>33</v>
      </c>
      <c r="F371" t="s">
        <v>404</v>
      </c>
      <c r="G371">
        <v>73.833079999999995</v>
      </c>
      <c r="H371" t="s">
        <v>35</v>
      </c>
    </row>
    <row r="372" spans="1:8" x14ac:dyDescent="0.2">
      <c r="A372" t="s">
        <v>640</v>
      </c>
      <c r="B372" t="s">
        <v>30</v>
      </c>
      <c r="C372" t="s">
        <v>31</v>
      </c>
      <c r="D372" t="s">
        <v>32</v>
      </c>
      <c r="E372" t="s">
        <v>33</v>
      </c>
      <c r="F372" t="s">
        <v>405</v>
      </c>
      <c r="G372">
        <v>73.766400000000004</v>
      </c>
      <c r="H372" t="s">
        <v>35</v>
      </c>
    </row>
    <row r="373" spans="1:8" x14ac:dyDescent="0.2">
      <c r="A373" t="s">
        <v>640</v>
      </c>
      <c r="B373" t="s">
        <v>30</v>
      </c>
      <c r="C373" t="s">
        <v>31</v>
      </c>
      <c r="D373" t="s">
        <v>32</v>
      </c>
      <c r="E373" t="s">
        <v>33</v>
      </c>
      <c r="F373" t="s">
        <v>406</v>
      </c>
      <c r="G373">
        <v>74.066950000000006</v>
      </c>
      <c r="H373" t="s">
        <v>35</v>
      </c>
    </row>
    <row r="374" spans="1:8" x14ac:dyDescent="0.2">
      <c r="A374" t="s">
        <v>640</v>
      </c>
      <c r="B374" t="s">
        <v>30</v>
      </c>
      <c r="C374" t="s">
        <v>31</v>
      </c>
      <c r="D374" t="s">
        <v>32</v>
      </c>
      <c r="E374" t="s">
        <v>33</v>
      </c>
      <c r="F374" t="s">
        <v>407</v>
      </c>
      <c r="G374">
        <v>74.652119999999996</v>
      </c>
      <c r="H374" t="s">
        <v>35</v>
      </c>
    </row>
    <row r="375" spans="1:8" x14ac:dyDescent="0.2">
      <c r="A375" t="s">
        <v>640</v>
      </c>
      <c r="B375" t="s">
        <v>30</v>
      </c>
      <c r="C375" t="s">
        <v>31</v>
      </c>
      <c r="D375" t="s">
        <v>32</v>
      </c>
      <c r="E375" t="s">
        <v>33</v>
      </c>
      <c r="F375" t="s">
        <v>408</v>
      </c>
      <c r="G375">
        <v>74.929779999999994</v>
      </c>
      <c r="H375" t="s">
        <v>35</v>
      </c>
    </row>
    <row r="376" spans="1:8" x14ac:dyDescent="0.2">
      <c r="A376" t="s">
        <v>640</v>
      </c>
      <c r="B376" t="s">
        <v>30</v>
      </c>
      <c r="C376" t="s">
        <v>31</v>
      </c>
      <c r="D376" t="s">
        <v>32</v>
      </c>
      <c r="E376" t="s">
        <v>33</v>
      </c>
      <c r="F376" t="s">
        <v>409</v>
      </c>
      <c r="G376">
        <v>75.205439999999996</v>
      </c>
      <c r="H376" t="s">
        <v>35</v>
      </c>
    </row>
    <row r="377" spans="1:8" x14ac:dyDescent="0.2">
      <c r="A377" t="s">
        <v>640</v>
      </c>
      <c r="B377" t="s">
        <v>30</v>
      </c>
      <c r="C377" t="s">
        <v>31</v>
      </c>
      <c r="D377" t="s">
        <v>32</v>
      </c>
      <c r="E377" t="s">
        <v>33</v>
      </c>
      <c r="F377" t="s">
        <v>410</v>
      </c>
      <c r="G377">
        <v>75.298000000000002</v>
      </c>
      <c r="H377" t="s">
        <v>35</v>
      </c>
    </row>
    <row r="378" spans="1:8" x14ac:dyDescent="0.2">
      <c r="A378" t="s">
        <v>640</v>
      </c>
      <c r="B378" t="s">
        <v>30</v>
      </c>
      <c r="C378" t="s">
        <v>31</v>
      </c>
      <c r="D378" t="s">
        <v>32</v>
      </c>
      <c r="E378" t="s">
        <v>33</v>
      </c>
      <c r="F378" t="s">
        <v>411</v>
      </c>
      <c r="G378">
        <v>75.628399999999999</v>
      </c>
      <c r="H378" t="s">
        <v>35</v>
      </c>
    </row>
    <row r="379" spans="1:8" x14ac:dyDescent="0.2">
      <c r="A379" t="s">
        <v>640</v>
      </c>
      <c r="B379" t="s">
        <v>30</v>
      </c>
      <c r="C379" t="s">
        <v>31</v>
      </c>
      <c r="D379" t="s">
        <v>32</v>
      </c>
      <c r="E379" t="s">
        <v>33</v>
      </c>
      <c r="F379" t="s">
        <v>412</v>
      </c>
      <c r="G379">
        <v>76.055340000000001</v>
      </c>
      <c r="H379" t="s">
        <v>35</v>
      </c>
    </row>
    <row r="380" spans="1:8" x14ac:dyDescent="0.2">
      <c r="A380" t="s">
        <v>640</v>
      </c>
      <c r="B380" t="s">
        <v>30</v>
      </c>
      <c r="C380" t="s">
        <v>31</v>
      </c>
      <c r="D380" t="s">
        <v>32</v>
      </c>
      <c r="E380" t="s">
        <v>33</v>
      </c>
      <c r="F380" t="s">
        <v>413</v>
      </c>
      <c r="G380">
        <v>76.69126</v>
      </c>
      <c r="H380" t="s">
        <v>35</v>
      </c>
    </row>
    <row r="381" spans="1:8" x14ac:dyDescent="0.2">
      <c r="A381" t="s">
        <v>640</v>
      </c>
      <c r="B381" t="s">
        <v>30</v>
      </c>
      <c r="C381" t="s">
        <v>31</v>
      </c>
      <c r="D381" t="s">
        <v>32</v>
      </c>
      <c r="E381" t="s">
        <v>33</v>
      </c>
      <c r="F381" t="s">
        <v>414</v>
      </c>
      <c r="G381">
        <v>76.891300000000001</v>
      </c>
      <c r="H381" t="s">
        <v>35</v>
      </c>
    </row>
    <row r="382" spans="1:8" x14ac:dyDescent="0.2">
      <c r="A382" t="s">
        <v>640</v>
      </c>
      <c r="B382" t="s">
        <v>30</v>
      </c>
      <c r="C382" t="s">
        <v>31</v>
      </c>
      <c r="D382" t="s">
        <v>32</v>
      </c>
      <c r="E382" t="s">
        <v>33</v>
      </c>
      <c r="F382" t="s">
        <v>415</v>
      </c>
      <c r="G382">
        <v>76.977869999999996</v>
      </c>
      <c r="H382" t="s">
        <v>35</v>
      </c>
    </row>
    <row r="383" spans="1:8" x14ac:dyDescent="0.2">
      <c r="A383" t="s">
        <v>640</v>
      </c>
      <c r="B383" t="s">
        <v>30</v>
      </c>
      <c r="C383" t="s">
        <v>31</v>
      </c>
      <c r="D383" t="s">
        <v>32</v>
      </c>
      <c r="E383" t="s">
        <v>33</v>
      </c>
      <c r="F383" t="s">
        <v>416</v>
      </c>
      <c r="G383">
        <v>76.829589999999996</v>
      </c>
      <c r="H383" t="s">
        <v>35</v>
      </c>
    </row>
    <row r="384" spans="1:8" x14ac:dyDescent="0.2">
      <c r="A384" t="s">
        <v>640</v>
      </c>
      <c r="B384" t="s">
        <v>30</v>
      </c>
      <c r="C384" t="s">
        <v>31</v>
      </c>
      <c r="D384" t="s">
        <v>32</v>
      </c>
      <c r="E384" t="s">
        <v>33</v>
      </c>
      <c r="F384" t="s">
        <v>417</v>
      </c>
      <c r="G384">
        <v>76.802719999999994</v>
      </c>
      <c r="H384" t="s">
        <v>35</v>
      </c>
    </row>
    <row r="385" spans="1:8" x14ac:dyDescent="0.2">
      <c r="A385" t="s">
        <v>640</v>
      </c>
      <c r="B385" t="s">
        <v>30</v>
      </c>
      <c r="C385" t="s">
        <v>31</v>
      </c>
      <c r="D385" t="s">
        <v>32</v>
      </c>
      <c r="E385" t="s">
        <v>33</v>
      </c>
      <c r="F385" t="s">
        <v>418</v>
      </c>
      <c r="G385">
        <v>77.100279999999998</v>
      </c>
      <c r="H385" t="s">
        <v>35</v>
      </c>
    </row>
    <row r="386" spans="1:8" x14ac:dyDescent="0.2">
      <c r="A386" t="s">
        <v>640</v>
      </c>
      <c r="B386" t="s">
        <v>30</v>
      </c>
      <c r="C386" t="s">
        <v>31</v>
      </c>
      <c r="D386" t="s">
        <v>32</v>
      </c>
      <c r="E386" t="s">
        <v>33</v>
      </c>
      <c r="F386" t="s">
        <v>419</v>
      </c>
      <c r="G386">
        <v>77.612809999999996</v>
      </c>
      <c r="H386" t="s">
        <v>35</v>
      </c>
    </row>
    <row r="387" spans="1:8" x14ac:dyDescent="0.2">
      <c r="A387" t="s">
        <v>640</v>
      </c>
      <c r="B387" t="s">
        <v>30</v>
      </c>
      <c r="C387" t="s">
        <v>31</v>
      </c>
      <c r="D387" t="s">
        <v>32</v>
      </c>
      <c r="E387" t="s">
        <v>33</v>
      </c>
      <c r="F387" t="s">
        <v>420</v>
      </c>
      <c r="G387">
        <v>77.765069999999994</v>
      </c>
      <c r="H387" t="s">
        <v>35</v>
      </c>
    </row>
    <row r="388" spans="1:8" x14ac:dyDescent="0.2">
      <c r="A388" t="s">
        <v>640</v>
      </c>
      <c r="B388" t="s">
        <v>30</v>
      </c>
      <c r="C388" t="s">
        <v>31</v>
      </c>
      <c r="D388" t="s">
        <v>32</v>
      </c>
      <c r="E388" t="s">
        <v>33</v>
      </c>
      <c r="F388" t="s">
        <v>421</v>
      </c>
      <c r="G388">
        <v>77.889470000000003</v>
      </c>
      <c r="H388" t="s">
        <v>35</v>
      </c>
    </row>
    <row r="389" spans="1:8" x14ac:dyDescent="0.2">
      <c r="A389" t="s">
        <v>640</v>
      </c>
      <c r="B389" t="s">
        <v>30</v>
      </c>
      <c r="C389" t="s">
        <v>31</v>
      </c>
      <c r="D389" t="s">
        <v>32</v>
      </c>
      <c r="E389" t="s">
        <v>33</v>
      </c>
      <c r="F389" t="s">
        <v>422</v>
      </c>
      <c r="G389">
        <v>77.755120000000005</v>
      </c>
      <c r="H389" t="s">
        <v>35</v>
      </c>
    </row>
    <row r="390" spans="1:8" x14ac:dyDescent="0.2">
      <c r="A390" t="s">
        <v>640</v>
      </c>
      <c r="B390" t="s">
        <v>30</v>
      </c>
      <c r="C390" t="s">
        <v>31</v>
      </c>
      <c r="D390" t="s">
        <v>32</v>
      </c>
      <c r="E390" t="s">
        <v>33</v>
      </c>
      <c r="F390" t="s">
        <v>423</v>
      </c>
      <c r="G390">
        <v>78.090500000000006</v>
      </c>
      <c r="H390" t="s">
        <v>35</v>
      </c>
    </row>
    <row r="391" spans="1:8" x14ac:dyDescent="0.2">
      <c r="A391" t="s">
        <v>640</v>
      </c>
      <c r="B391" t="s">
        <v>30</v>
      </c>
      <c r="C391" t="s">
        <v>31</v>
      </c>
      <c r="D391" t="s">
        <v>32</v>
      </c>
      <c r="E391" t="s">
        <v>33</v>
      </c>
      <c r="F391" t="s">
        <v>424</v>
      </c>
      <c r="G391">
        <v>78.724429999999998</v>
      </c>
      <c r="H391" t="s">
        <v>35</v>
      </c>
    </row>
    <row r="392" spans="1:8" x14ac:dyDescent="0.2">
      <c r="A392" t="s">
        <v>640</v>
      </c>
      <c r="B392" t="s">
        <v>30</v>
      </c>
      <c r="C392" t="s">
        <v>31</v>
      </c>
      <c r="D392" t="s">
        <v>32</v>
      </c>
      <c r="E392" t="s">
        <v>33</v>
      </c>
      <c r="F392" t="s">
        <v>425</v>
      </c>
      <c r="G392">
        <v>79.243920000000003</v>
      </c>
      <c r="H392" t="s">
        <v>35</v>
      </c>
    </row>
    <row r="393" spans="1:8" x14ac:dyDescent="0.2">
      <c r="A393" t="s">
        <v>640</v>
      </c>
      <c r="B393" t="s">
        <v>30</v>
      </c>
      <c r="C393" t="s">
        <v>31</v>
      </c>
      <c r="D393" t="s">
        <v>32</v>
      </c>
      <c r="E393" t="s">
        <v>33</v>
      </c>
      <c r="F393" t="s">
        <v>426</v>
      </c>
      <c r="G393">
        <v>79.499690000000001</v>
      </c>
      <c r="H393" t="s">
        <v>35</v>
      </c>
    </row>
    <row r="394" spans="1:8" x14ac:dyDescent="0.2">
      <c r="A394" t="s">
        <v>640</v>
      </c>
      <c r="B394" t="s">
        <v>30</v>
      </c>
      <c r="C394" t="s">
        <v>31</v>
      </c>
      <c r="D394" t="s">
        <v>32</v>
      </c>
      <c r="E394" t="s">
        <v>33</v>
      </c>
      <c r="F394" t="s">
        <v>427</v>
      </c>
      <c r="G394">
        <v>79.636020000000002</v>
      </c>
      <c r="H394" t="s">
        <v>35</v>
      </c>
    </row>
    <row r="395" spans="1:8" x14ac:dyDescent="0.2">
      <c r="A395" t="s">
        <v>640</v>
      </c>
      <c r="B395" t="s">
        <v>30</v>
      </c>
      <c r="C395" t="s">
        <v>31</v>
      </c>
      <c r="D395" t="s">
        <v>32</v>
      </c>
      <c r="E395" t="s">
        <v>33</v>
      </c>
      <c r="F395" t="s">
        <v>428</v>
      </c>
      <c r="G395">
        <v>79.694739999999996</v>
      </c>
      <c r="H395" t="s">
        <v>35</v>
      </c>
    </row>
    <row r="396" spans="1:8" x14ac:dyDescent="0.2">
      <c r="A396" t="s">
        <v>640</v>
      </c>
      <c r="B396" t="s">
        <v>30</v>
      </c>
      <c r="C396" t="s">
        <v>31</v>
      </c>
      <c r="D396" t="s">
        <v>32</v>
      </c>
      <c r="E396" t="s">
        <v>33</v>
      </c>
      <c r="F396" t="s">
        <v>429</v>
      </c>
      <c r="G396">
        <v>79.647970000000001</v>
      </c>
      <c r="H396" t="s">
        <v>35</v>
      </c>
    </row>
    <row r="397" spans="1:8" x14ac:dyDescent="0.2">
      <c r="A397" t="s">
        <v>640</v>
      </c>
      <c r="B397" t="s">
        <v>30</v>
      </c>
      <c r="C397" t="s">
        <v>31</v>
      </c>
      <c r="D397" t="s">
        <v>32</v>
      </c>
      <c r="E397" t="s">
        <v>33</v>
      </c>
      <c r="F397" t="s">
        <v>430</v>
      </c>
      <c r="G397">
        <v>80.161479999999997</v>
      </c>
      <c r="H397" t="s">
        <v>35</v>
      </c>
    </row>
    <row r="398" spans="1:8" x14ac:dyDescent="0.2">
      <c r="A398" t="s">
        <v>640</v>
      </c>
      <c r="B398" t="s">
        <v>30</v>
      </c>
      <c r="C398" t="s">
        <v>31</v>
      </c>
      <c r="D398" t="s">
        <v>32</v>
      </c>
      <c r="E398" t="s">
        <v>33</v>
      </c>
      <c r="F398" t="s">
        <v>431</v>
      </c>
      <c r="G398">
        <v>80.742679999999993</v>
      </c>
      <c r="H398" t="s">
        <v>35</v>
      </c>
    </row>
    <row r="399" spans="1:8" x14ac:dyDescent="0.2">
      <c r="A399" t="s">
        <v>640</v>
      </c>
      <c r="B399" t="s">
        <v>30</v>
      </c>
      <c r="C399" t="s">
        <v>31</v>
      </c>
      <c r="D399" t="s">
        <v>32</v>
      </c>
      <c r="E399" t="s">
        <v>33</v>
      </c>
      <c r="F399" t="s">
        <v>432</v>
      </c>
      <c r="G399">
        <v>80.854140000000001</v>
      </c>
      <c r="H399" t="s">
        <v>35</v>
      </c>
    </row>
    <row r="400" spans="1:8" x14ac:dyDescent="0.2">
      <c r="A400" t="s">
        <v>640</v>
      </c>
      <c r="B400" t="s">
        <v>30</v>
      </c>
      <c r="C400" t="s">
        <v>31</v>
      </c>
      <c r="D400" t="s">
        <v>32</v>
      </c>
      <c r="E400" t="s">
        <v>33</v>
      </c>
      <c r="F400" t="s">
        <v>433</v>
      </c>
      <c r="G400">
        <v>80.973560000000006</v>
      </c>
      <c r="H400" t="s">
        <v>35</v>
      </c>
    </row>
    <row r="401" spans="1:8" x14ac:dyDescent="0.2">
      <c r="A401" t="s">
        <v>640</v>
      </c>
      <c r="B401" t="s">
        <v>30</v>
      </c>
      <c r="C401" t="s">
        <v>31</v>
      </c>
      <c r="D401" t="s">
        <v>32</v>
      </c>
      <c r="E401" t="s">
        <v>33</v>
      </c>
      <c r="F401" t="s">
        <v>434</v>
      </c>
      <c r="G401">
        <v>80.960620000000006</v>
      </c>
      <c r="H401" t="s">
        <v>35</v>
      </c>
    </row>
    <row r="402" spans="1:8" x14ac:dyDescent="0.2">
      <c r="A402" t="s">
        <v>640</v>
      </c>
      <c r="B402" t="s">
        <v>30</v>
      </c>
      <c r="C402" t="s">
        <v>31</v>
      </c>
      <c r="D402" t="s">
        <v>32</v>
      </c>
      <c r="E402" t="s">
        <v>33</v>
      </c>
      <c r="F402" t="s">
        <v>435</v>
      </c>
      <c r="G402">
        <v>81.017349999999993</v>
      </c>
      <c r="H402" t="s">
        <v>35</v>
      </c>
    </row>
    <row r="403" spans="1:8" x14ac:dyDescent="0.2">
      <c r="A403" t="s">
        <v>640</v>
      </c>
      <c r="B403" t="s">
        <v>30</v>
      </c>
      <c r="C403" t="s">
        <v>31</v>
      </c>
      <c r="D403" t="s">
        <v>32</v>
      </c>
      <c r="E403" t="s">
        <v>33</v>
      </c>
      <c r="F403" t="s">
        <v>436</v>
      </c>
      <c r="G403">
        <v>81.640339999999995</v>
      </c>
      <c r="H403" t="s">
        <v>35</v>
      </c>
    </row>
    <row r="404" spans="1:8" x14ac:dyDescent="0.2">
      <c r="A404" t="s">
        <v>640</v>
      </c>
      <c r="B404" t="s">
        <v>30</v>
      </c>
      <c r="C404" t="s">
        <v>31</v>
      </c>
      <c r="D404" t="s">
        <v>32</v>
      </c>
      <c r="E404" t="s">
        <v>33</v>
      </c>
      <c r="F404" t="s">
        <v>437</v>
      </c>
      <c r="G404">
        <v>82.100110000000001</v>
      </c>
      <c r="H404" t="s">
        <v>35</v>
      </c>
    </row>
    <row r="405" spans="1:8" x14ac:dyDescent="0.2">
      <c r="A405" t="s">
        <v>640</v>
      </c>
      <c r="B405" t="s">
        <v>30</v>
      </c>
      <c r="C405" t="s">
        <v>31</v>
      </c>
      <c r="D405" t="s">
        <v>32</v>
      </c>
      <c r="E405" t="s">
        <v>33</v>
      </c>
      <c r="F405" t="s">
        <v>438</v>
      </c>
      <c r="G405">
        <v>82.096130000000002</v>
      </c>
      <c r="H405" t="s">
        <v>35</v>
      </c>
    </row>
    <row r="406" spans="1:8" x14ac:dyDescent="0.2">
      <c r="A406" t="s">
        <v>640</v>
      </c>
      <c r="B406" t="s">
        <v>30</v>
      </c>
      <c r="C406" t="s">
        <v>31</v>
      </c>
      <c r="D406" t="s">
        <v>32</v>
      </c>
      <c r="E406" t="s">
        <v>33</v>
      </c>
      <c r="F406" t="s">
        <v>439</v>
      </c>
      <c r="G406">
        <v>81.8553</v>
      </c>
      <c r="H406" t="s">
        <v>35</v>
      </c>
    </row>
    <row r="407" spans="1:8" x14ac:dyDescent="0.2">
      <c r="A407" t="s">
        <v>640</v>
      </c>
      <c r="B407" t="s">
        <v>30</v>
      </c>
      <c r="C407" t="s">
        <v>31</v>
      </c>
      <c r="D407" t="s">
        <v>32</v>
      </c>
      <c r="E407" t="s">
        <v>33</v>
      </c>
      <c r="F407" t="s">
        <v>440</v>
      </c>
      <c r="G407">
        <v>81.895099999999999</v>
      </c>
      <c r="H407" t="s">
        <v>35</v>
      </c>
    </row>
    <row r="408" spans="1:8" x14ac:dyDescent="0.2">
      <c r="A408" t="s">
        <v>640</v>
      </c>
      <c r="B408" t="s">
        <v>30</v>
      </c>
      <c r="C408" t="s">
        <v>31</v>
      </c>
      <c r="D408" t="s">
        <v>32</v>
      </c>
      <c r="E408" t="s">
        <v>33</v>
      </c>
      <c r="F408" t="s">
        <v>441</v>
      </c>
      <c r="G408">
        <v>82.050349999999995</v>
      </c>
      <c r="H408" t="s">
        <v>35</v>
      </c>
    </row>
    <row r="409" spans="1:8" x14ac:dyDescent="0.2">
      <c r="A409" t="s">
        <v>640</v>
      </c>
      <c r="B409" t="s">
        <v>30</v>
      </c>
      <c r="C409" t="s">
        <v>31</v>
      </c>
      <c r="D409" t="s">
        <v>32</v>
      </c>
      <c r="E409" t="s">
        <v>33</v>
      </c>
      <c r="F409" t="s">
        <v>442</v>
      </c>
      <c r="G409">
        <v>82.496200000000002</v>
      </c>
      <c r="H409" t="s">
        <v>35</v>
      </c>
    </row>
    <row r="410" spans="1:8" x14ac:dyDescent="0.2">
      <c r="A410" t="s">
        <v>640</v>
      </c>
      <c r="B410" t="s">
        <v>30</v>
      </c>
      <c r="C410" t="s">
        <v>31</v>
      </c>
      <c r="D410" t="s">
        <v>32</v>
      </c>
      <c r="E410" t="s">
        <v>33</v>
      </c>
      <c r="F410" t="s">
        <v>443</v>
      </c>
      <c r="G410">
        <v>82.725089999999994</v>
      </c>
      <c r="H410" t="s">
        <v>35</v>
      </c>
    </row>
    <row r="411" spans="1:8" x14ac:dyDescent="0.2">
      <c r="A411" t="s">
        <v>640</v>
      </c>
      <c r="B411" t="s">
        <v>30</v>
      </c>
      <c r="C411" t="s">
        <v>31</v>
      </c>
      <c r="D411" t="s">
        <v>32</v>
      </c>
      <c r="E411" t="s">
        <v>33</v>
      </c>
      <c r="F411" t="s">
        <v>444</v>
      </c>
      <c r="G411">
        <v>82.772869999999998</v>
      </c>
      <c r="H411" t="s">
        <v>35</v>
      </c>
    </row>
    <row r="412" spans="1:8" x14ac:dyDescent="0.2">
      <c r="A412" t="s">
        <v>640</v>
      </c>
      <c r="B412" t="s">
        <v>30</v>
      </c>
      <c r="C412" t="s">
        <v>31</v>
      </c>
      <c r="D412" t="s">
        <v>32</v>
      </c>
      <c r="E412" t="s">
        <v>33</v>
      </c>
      <c r="F412" t="s">
        <v>445</v>
      </c>
      <c r="G412">
        <v>82.777839999999998</v>
      </c>
      <c r="H412" t="s">
        <v>35</v>
      </c>
    </row>
    <row r="413" spans="1:8" x14ac:dyDescent="0.2">
      <c r="A413" t="s">
        <v>640</v>
      </c>
      <c r="B413" t="s">
        <v>30</v>
      </c>
      <c r="C413" t="s">
        <v>31</v>
      </c>
      <c r="D413" t="s">
        <v>32</v>
      </c>
      <c r="E413" t="s">
        <v>33</v>
      </c>
      <c r="F413" t="s">
        <v>446</v>
      </c>
      <c r="G413">
        <v>82.652439999999999</v>
      </c>
      <c r="H413" t="s">
        <v>35</v>
      </c>
    </row>
    <row r="414" spans="1:8" x14ac:dyDescent="0.2">
      <c r="A414" t="s">
        <v>640</v>
      </c>
      <c r="B414" t="s">
        <v>30</v>
      </c>
      <c r="C414" t="s">
        <v>31</v>
      </c>
      <c r="D414" t="s">
        <v>32</v>
      </c>
      <c r="E414" t="s">
        <v>33</v>
      </c>
      <c r="F414" t="s">
        <v>447</v>
      </c>
      <c r="G414">
        <v>82.843519999999998</v>
      </c>
      <c r="H414" t="s">
        <v>35</v>
      </c>
    </row>
    <row r="415" spans="1:8" x14ac:dyDescent="0.2">
      <c r="A415" t="s">
        <v>640</v>
      </c>
      <c r="B415" t="s">
        <v>30</v>
      </c>
      <c r="C415" t="s">
        <v>31</v>
      </c>
      <c r="D415" t="s">
        <v>32</v>
      </c>
      <c r="E415" t="s">
        <v>33</v>
      </c>
      <c r="F415" t="s">
        <v>448</v>
      </c>
      <c r="G415">
        <v>83.548109999999994</v>
      </c>
      <c r="H415" t="s">
        <v>35</v>
      </c>
    </row>
    <row r="416" spans="1:8" x14ac:dyDescent="0.2">
      <c r="A416" t="s">
        <v>640</v>
      </c>
      <c r="B416" t="s">
        <v>30</v>
      </c>
      <c r="C416" t="s">
        <v>31</v>
      </c>
      <c r="D416" t="s">
        <v>32</v>
      </c>
      <c r="E416" t="s">
        <v>33</v>
      </c>
      <c r="F416" t="s">
        <v>449</v>
      </c>
      <c r="G416">
        <v>84.094470000000001</v>
      </c>
      <c r="H416" t="s">
        <v>35</v>
      </c>
    </row>
    <row r="417" spans="1:8" x14ac:dyDescent="0.2">
      <c r="A417" t="s">
        <v>640</v>
      </c>
      <c r="B417" t="s">
        <v>30</v>
      </c>
      <c r="C417" t="s">
        <v>31</v>
      </c>
      <c r="D417" t="s">
        <v>32</v>
      </c>
      <c r="E417" t="s">
        <v>33</v>
      </c>
      <c r="F417" t="s">
        <v>450</v>
      </c>
      <c r="G417">
        <v>84.283559999999994</v>
      </c>
      <c r="H417" t="s">
        <v>35</v>
      </c>
    </row>
    <row r="418" spans="1:8" x14ac:dyDescent="0.2">
      <c r="A418" t="s">
        <v>640</v>
      </c>
      <c r="B418" t="s">
        <v>30</v>
      </c>
      <c r="C418" t="s">
        <v>31</v>
      </c>
      <c r="D418" t="s">
        <v>32</v>
      </c>
      <c r="E418" t="s">
        <v>33</v>
      </c>
      <c r="F418" t="s">
        <v>451</v>
      </c>
      <c r="G418">
        <v>84.12433</v>
      </c>
      <c r="H418" t="s">
        <v>35</v>
      </c>
    </row>
    <row r="419" spans="1:8" x14ac:dyDescent="0.2">
      <c r="A419" t="s">
        <v>640</v>
      </c>
      <c r="B419" t="s">
        <v>30</v>
      </c>
      <c r="C419" t="s">
        <v>31</v>
      </c>
      <c r="D419" t="s">
        <v>32</v>
      </c>
      <c r="E419" t="s">
        <v>33</v>
      </c>
      <c r="F419" t="s">
        <v>452</v>
      </c>
      <c r="G419">
        <v>83.831739999999996</v>
      </c>
      <c r="H419" t="s">
        <v>35</v>
      </c>
    </row>
    <row r="420" spans="1:8" x14ac:dyDescent="0.2">
      <c r="A420" t="s">
        <v>640</v>
      </c>
      <c r="B420" t="s">
        <v>30</v>
      </c>
      <c r="C420" t="s">
        <v>31</v>
      </c>
      <c r="D420" t="s">
        <v>32</v>
      </c>
      <c r="E420" t="s">
        <v>33</v>
      </c>
      <c r="F420" t="s">
        <v>453</v>
      </c>
      <c r="G420">
        <v>83.765069999999994</v>
      </c>
      <c r="H420" t="s">
        <v>35</v>
      </c>
    </row>
    <row r="421" spans="1:8" x14ac:dyDescent="0.2">
      <c r="A421" t="s">
        <v>640</v>
      </c>
      <c r="B421" t="s">
        <v>30</v>
      </c>
      <c r="C421" t="s">
        <v>31</v>
      </c>
      <c r="D421" t="s">
        <v>32</v>
      </c>
      <c r="E421" t="s">
        <v>33</v>
      </c>
      <c r="F421" t="s">
        <v>454</v>
      </c>
      <c r="G421">
        <v>84.305449999999993</v>
      </c>
      <c r="H421" t="s">
        <v>35</v>
      </c>
    </row>
    <row r="422" spans="1:8" x14ac:dyDescent="0.2">
      <c r="A422" t="s">
        <v>640</v>
      </c>
      <c r="B422" t="s">
        <v>30</v>
      </c>
      <c r="C422" t="s">
        <v>31</v>
      </c>
      <c r="D422" t="s">
        <v>32</v>
      </c>
      <c r="E422" t="s">
        <v>33</v>
      </c>
      <c r="F422" t="s">
        <v>455</v>
      </c>
      <c r="G422">
        <v>84.766229999999993</v>
      </c>
      <c r="H422" t="s">
        <v>35</v>
      </c>
    </row>
    <row r="423" spans="1:8" x14ac:dyDescent="0.2">
      <c r="A423" t="s">
        <v>640</v>
      </c>
      <c r="B423" t="s">
        <v>30</v>
      </c>
      <c r="C423" t="s">
        <v>31</v>
      </c>
      <c r="D423" t="s">
        <v>32</v>
      </c>
      <c r="E423" t="s">
        <v>33</v>
      </c>
      <c r="F423" t="s">
        <v>456</v>
      </c>
      <c r="G423">
        <v>84.831909999999993</v>
      </c>
      <c r="H423" t="s">
        <v>35</v>
      </c>
    </row>
    <row r="424" spans="1:8" x14ac:dyDescent="0.2">
      <c r="A424" t="s">
        <v>640</v>
      </c>
      <c r="B424" t="s">
        <v>30</v>
      </c>
      <c r="C424" t="s">
        <v>31</v>
      </c>
      <c r="D424" t="s">
        <v>32</v>
      </c>
      <c r="E424" t="s">
        <v>33</v>
      </c>
      <c r="F424" t="s">
        <v>457</v>
      </c>
      <c r="G424">
        <v>84.446770000000001</v>
      </c>
      <c r="H424" t="s">
        <v>35</v>
      </c>
    </row>
    <row r="425" spans="1:8" x14ac:dyDescent="0.2">
      <c r="A425" t="s">
        <v>640</v>
      </c>
      <c r="B425" t="s">
        <v>30</v>
      </c>
      <c r="C425" t="s">
        <v>31</v>
      </c>
      <c r="D425" t="s">
        <v>32</v>
      </c>
      <c r="E425" t="s">
        <v>33</v>
      </c>
      <c r="F425" t="s">
        <v>458</v>
      </c>
      <c r="G425">
        <v>84.410939999999997</v>
      </c>
      <c r="H425" t="s">
        <v>35</v>
      </c>
    </row>
    <row r="426" spans="1:8" x14ac:dyDescent="0.2">
      <c r="A426" t="s">
        <v>640</v>
      </c>
      <c r="B426" t="s">
        <v>30</v>
      </c>
      <c r="C426" t="s">
        <v>31</v>
      </c>
      <c r="D426" t="s">
        <v>32</v>
      </c>
      <c r="E426" t="s">
        <v>33</v>
      </c>
      <c r="F426" t="s">
        <v>459</v>
      </c>
      <c r="G426">
        <v>84.699550000000002</v>
      </c>
      <c r="H426" t="s">
        <v>35</v>
      </c>
    </row>
    <row r="427" spans="1:8" x14ac:dyDescent="0.2">
      <c r="A427" t="s">
        <v>640</v>
      </c>
      <c r="B427" t="s">
        <v>30</v>
      </c>
      <c r="C427" t="s">
        <v>31</v>
      </c>
      <c r="D427" t="s">
        <v>32</v>
      </c>
      <c r="E427" t="s">
        <v>33</v>
      </c>
      <c r="F427" t="s">
        <v>460</v>
      </c>
      <c r="G427">
        <v>85.275760000000005</v>
      </c>
      <c r="H427" t="s">
        <v>35</v>
      </c>
    </row>
    <row r="428" spans="1:8" x14ac:dyDescent="0.2">
      <c r="A428" t="s">
        <v>640</v>
      </c>
      <c r="B428" t="s">
        <v>30</v>
      </c>
      <c r="C428" t="s">
        <v>31</v>
      </c>
      <c r="D428" t="s">
        <v>32</v>
      </c>
      <c r="E428" t="s">
        <v>33</v>
      </c>
      <c r="F428" t="s">
        <v>461</v>
      </c>
      <c r="G428">
        <v>85.631039999999999</v>
      </c>
      <c r="H428" t="s">
        <v>35</v>
      </c>
    </row>
    <row r="429" spans="1:8" x14ac:dyDescent="0.2">
      <c r="A429" t="s">
        <v>640</v>
      </c>
      <c r="B429" t="s">
        <v>30</v>
      </c>
      <c r="C429" t="s">
        <v>31</v>
      </c>
      <c r="D429" t="s">
        <v>32</v>
      </c>
      <c r="E429" t="s">
        <v>33</v>
      </c>
      <c r="F429" t="s">
        <v>462</v>
      </c>
      <c r="G429">
        <v>85.651949999999999</v>
      </c>
      <c r="H429" t="s">
        <v>35</v>
      </c>
    </row>
    <row r="430" spans="1:8" x14ac:dyDescent="0.2">
      <c r="A430" t="s">
        <v>640</v>
      </c>
      <c r="B430" t="s">
        <v>30</v>
      </c>
      <c r="C430" t="s">
        <v>31</v>
      </c>
      <c r="D430" t="s">
        <v>32</v>
      </c>
      <c r="E430" t="s">
        <v>33</v>
      </c>
      <c r="F430" t="s">
        <v>463</v>
      </c>
      <c r="G430">
        <v>85.909700000000001</v>
      </c>
      <c r="H430" t="s">
        <v>35</v>
      </c>
    </row>
    <row r="431" spans="1:8" x14ac:dyDescent="0.2">
      <c r="A431" t="s">
        <v>640</v>
      </c>
      <c r="B431" t="s">
        <v>30</v>
      </c>
      <c r="C431" t="s">
        <v>31</v>
      </c>
      <c r="D431" t="s">
        <v>32</v>
      </c>
      <c r="E431" t="s">
        <v>33</v>
      </c>
      <c r="F431" t="s">
        <v>464</v>
      </c>
      <c r="G431">
        <v>86.004239999999996</v>
      </c>
      <c r="H431" t="s">
        <v>35</v>
      </c>
    </row>
    <row r="432" spans="1:8" x14ac:dyDescent="0.2">
      <c r="A432" t="s">
        <v>640</v>
      </c>
      <c r="B432" t="s">
        <v>30</v>
      </c>
      <c r="C432" t="s">
        <v>31</v>
      </c>
      <c r="D432" t="s">
        <v>32</v>
      </c>
      <c r="E432" t="s">
        <v>33</v>
      </c>
      <c r="F432" t="s">
        <v>465</v>
      </c>
      <c r="G432">
        <v>86.169439999999994</v>
      </c>
      <c r="H432" t="s">
        <v>35</v>
      </c>
    </row>
    <row r="433" spans="1:8" x14ac:dyDescent="0.2">
      <c r="A433" t="s">
        <v>640</v>
      </c>
      <c r="B433" t="s">
        <v>30</v>
      </c>
      <c r="C433" t="s">
        <v>31</v>
      </c>
      <c r="D433" t="s">
        <v>32</v>
      </c>
      <c r="E433" t="s">
        <v>33</v>
      </c>
      <c r="F433" t="s">
        <v>466</v>
      </c>
      <c r="G433">
        <v>86.572490000000002</v>
      </c>
      <c r="H433" t="s">
        <v>35</v>
      </c>
    </row>
    <row r="434" spans="1:8" x14ac:dyDescent="0.2">
      <c r="A434" t="s">
        <v>640</v>
      </c>
      <c r="B434" t="s">
        <v>30</v>
      </c>
      <c r="C434" t="s">
        <v>31</v>
      </c>
      <c r="D434" t="s">
        <v>32</v>
      </c>
      <c r="E434" t="s">
        <v>33</v>
      </c>
      <c r="F434" t="s">
        <v>467</v>
      </c>
      <c r="G434">
        <v>86.935739999999996</v>
      </c>
      <c r="H434" t="s">
        <v>35</v>
      </c>
    </row>
    <row r="435" spans="1:8" x14ac:dyDescent="0.2">
      <c r="A435" t="s">
        <v>640</v>
      </c>
      <c r="B435" t="s">
        <v>30</v>
      </c>
      <c r="C435" t="s">
        <v>31</v>
      </c>
      <c r="D435" t="s">
        <v>32</v>
      </c>
      <c r="E435" t="s">
        <v>33</v>
      </c>
      <c r="F435" t="s">
        <v>468</v>
      </c>
      <c r="G435">
        <v>87.021320000000003</v>
      </c>
      <c r="H435" t="s">
        <v>35</v>
      </c>
    </row>
    <row r="436" spans="1:8" x14ac:dyDescent="0.2">
      <c r="A436" t="s">
        <v>640</v>
      </c>
      <c r="B436" t="s">
        <v>30</v>
      </c>
      <c r="C436" t="s">
        <v>31</v>
      </c>
      <c r="D436" t="s">
        <v>32</v>
      </c>
      <c r="E436" t="s">
        <v>33</v>
      </c>
      <c r="F436" t="s">
        <v>469</v>
      </c>
      <c r="G436">
        <v>86.728740000000002</v>
      </c>
      <c r="H436" t="s">
        <v>35</v>
      </c>
    </row>
    <row r="437" spans="1:8" x14ac:dyDescent="0.2">
      <c r="A437" t="s">
        <v>640</v>
      </c>
      <c r="B437" t="s">
        <v>30</v>
      </c>
      <c r="C437" t="s">
        <v>31</v>
      </c>
      <c r="D437" t="s">
        <v>32</v>
      </c>
      <c r="E437" t="s">
        <v>33</v>
      </c>
      <c r="F437" t="s">
        <v>470</v>
      </c>
      <c r="G437">
        <v>86.906880000000001</v>
      </c>
      <c r="H437" t="s">
        <v>35</v>
      </c>
    </row>
    <row r="438" spans="1:8" x14ac:dyDescent="0.2">
      <c r="A438" t="s">
        <v>640</v>
      </c>
      <c r="B438" t="s">
        <v>30</v>
      </c>
      <c r="C438" t="s">
        <v>31</v>
      </c>
      <c r="D438" t="s">
        <v>32</v>
      </c>
      <c r="E438" t="s">
        <v>33</v>
      </c>
      <c r="F438" t="s">
        <v>471</v>
      </c>
      <c r="G438">
        <v>88.003579999999999</v>
      </c>
      <c r="H438" t="s">
        <v>35</v>
      </c>
    </row>
    <row r="439" spans="1:8" x14ac:dyDescent="0.2">
      <c r="A439" t="s">
        <v>640</v>
      </c>
      <c r="B439" t="s">
        <v>30</v>
      </c>
      <c r="C439" t="s">
        <v>31</v>
      </c>
      <c r="D439" t="s">
        <v>32</v>
      </c>
      <c r="E439" t="s">
        <v>33</v>
      </c>
      <c r="F439" t="s">
        <v>472</v>
      </c>
      <c r="G439">
        <v>88.458370000000002</v>
      </c>
      <c r="H439" t="s">
        <v>35</v>
      </c>
    </row>
    <row r="440" spans="1:8" x14ac:dyDescent="0.2">
      <c r="A440" t="s">
        <v>640</v>
      </c>
      <c r="B440" t="s">
        <v>30</v>
      </c>
      <c r="C440" t="s">
        <v>31</v>
      </c>
      <c r="D440" t="s">
        <v>32</v>
      </c>
      <c r="E440" t="s">
        <v>33</v>
      </c>
      <c r="F440" t="s">
        <v>473</v>
      </c>
      <c r="G440">
        <v>88.838539999999995</v>
      </c>
      <c r="H440" t="s">
        <v>35</v>
      </c>
    </row>
    <row r="441" spans="1:8" x14ac:dyDescent="0.2">
      <c r="A441" t="s">
        <v>640</v>
      </c>
      <c r="B441" t="s">
        <v>30</v>
      </c>
      <c r="C441" t="s">
        <v>31</v>
      </c>
      <c r="D441" t="s">
        <v>32</v>
      </c>
      <c r="E441" t="s">
        <v>33</v>
      </c>
      <c r="F441" t="s">
        <v>474</v>
      </c>
      <c r="G441">
        <v>88.796750000000003</v>
      </c>
      <c r="H441" t="s">
        <v>35</v>
      </c>
    </row>
    <row r="442" spans="1:8" x14ac:dyDescent="0.2">
      <c r="A442" t="s">
        <v>640</v>
      </c>
      <c r="B442" t="s">
        <v>30</v>
      </c>
      <c r="C442" t="s">
        <v>31</v>
      </c>
      <c r="D442" t="s">
        <v>32</v>
      </c>
      <c r="E442" t="s">
        <v>33</v>
      </c>
      <c r="F442" t="s">
        <v>475</v>
      </c>
      <c r="G442">
        <v>88.590739999999997</v>
      </c>
      <c r="H442" t="s">
        <v>35</v>
      </c>
    </row>
    <row r="443" spans="1:8" x14ac:dyDescent="0.2">
      <c r="A443" t="s">
        <v>640</v>
      </c>
      <c r="B443" t="s">
        <v>30</v>
      </c>
      <c r="C443" t="s">
        <v>31</v>
      </c>
      <c r="D443" t="s">
        <v>32</v>
      </c>
      <c r="E443" t="s">
        <v>33</v>
      </c>
      <c r="F443" t="s">
        <v>476</v>
      </c>
      <c r="G443">
        <v>88.454400000000007</v>
      </c>
      <c r="H443" t="s">
        <v>35</v>
      </c>
    </row>
    <row r="444" spans="1:8" x14ac:dyDescent="0.2">
      <c r="A444" t="s">
        <v>640</v>
      </c>
      <c r="B444" t="s">
        <v>30</v>
      </c>
      <c r="C444" t="s">
        <v>31</v>
      </c>
      <c r="D444" t="s">
        <v>32</v>
      </c>
      <c r="E444" t="s">
        <v>33</v>
      </c>
      <c r="F444" t="s">
        <v>477</v>
      </c>
      <c r="G444">
        <v>88.823610000000002</v>
      </c>
      <c r="H444" t="s">
        <v>35</v>
      </c>
    </row>
    <row r="445" spans="1:8" x14ac:dyDescent="0.2">
      <c r="A445" t="s">
        <v>640</v>
      </c>
      <c r="B445" t="s">
        <v>30</v>
      </c>
      <c r="C445" t="s">
        <v>31</v>
      </c>
      <c r="D445" t="s">
        <v>32</v>
      </c>
      <c r="E445" t="s">
        <v>33</v>
      </c>
      <c r="F445" t="s">
        <v>478</v>
      </c>
      <c r="G445">
        <v>88.886309999999995</v>
      </c>
      <c r="H445" t="s">
        <v>35</v>
      </c>
    </row>
    <row r="446" spans="1:8" x14ac:dyDescent="0.2">
      <c r="A446" t="s">
        <v>640</v>
      </c>
      <c r="B446" t="s">
        <v>30</v>
      </c>
      <c r="C446" t="s">
        <v>31</v>
      </c>
      <c r="D446" t="s">
        <v>32</v>
      </c>
      <c r="E446" t="s">
        <v>33</v>
      </c>
      <c r="F446" t="s">
        <v>479</v>
      </c>
      <c r="G446">
        <v>89.006730000000005</v>
      </c>
      <c r="H446" t="s">
        <v>35</v>
      </c>
    </row>
    <row r="447" spans="1:8" x14ac:dyDescent="0.2">
      <c r="A447" t="s">
        <v>640</v>
      </c>
      <c r="B447" t="s">
        <v>30</v>
      </c>
      <c r="C447" t="s">
        <v>31</v>
      </c>
      <c r="D447" t="s">
        <v>32</v>
      </c>
      <c r="E447" t="s">
        <v>33</v>
      </c>
      <c r="F447" t="s">
        <v>480</v>
      </c>
      <c r="G447">
        <v>89.203770000000006</v>
      </c>
      <c r="H447" t="s">
        <v>35</v>
      </c>
    </row>
    <row r="448" spans="1:8" x14ac:dyDescent="0.2">
      <c r="A448" t="s">
        <v>640</v>
      </c>
      <c r="B448" t="s">
        <v>30</v>
      </c>
      <c r="C448" t="s">
        <v>31</v>
      </c>
      <c r="D448" t="s">
        <v>32</v>
      </c>
      <c r="E448" t="s">
        <v>33</v>
      </c>
      <c r="F448" t="s">
        <v>481</v>
      </c>
      <c r="G448">
        <v>88.959950000000006</v>
      </c>
      <c r="H448" t="s">
        <v>35</v>
      </c>
    </row>
    <row r="449" spans="1:8" x14ac:dyDescent="0.2">
      <c r="A449" t="s">
        <v>640</v>
      </c>
      <c r="B449" t="s">
        <v>30</v>
      </c>
      <c r="C449" t="s">
        <v>31</v>
      </c>
      <c r="D449" t="s">
        <v>32</v>
      </c>
      <c r="E449" t="s">
        <v>33</v>
      </c>
      <c r="F449" t="s">
        <v>482</v>
      </c>
      <c r="G449">
        <v>88.94502</v>
      </c>
      <c r="H449" t="s">
        <v>35</v>
      </c>
    </row>
    <row r="450" spans="1:8" x14ac:dyDescent="0.2">
      <c r="A450" t="s">
        <v>640</v>
      </c>
      <c r="B450" t="s">
        <v>30</v>
      </c>
      <c r="C450" t="s">
        <v>31</v>
      </c>
      <c r="D450" t="s">
        <v>32</v>
      </c>
      <c r="E450" t="s">
        <v>33</v>
      </c>
      <c r="F450" t="s">
        <v>483</v>
      </c>
      <c r="G450">
        <v>90.055660000000003</v>
      </c>
      <c r="H450" t="s">
        <v>35</v>
      </c>
    </row>
    <row r="451" spans="1:8" x14ac:dyDescent="0.2">
      <c r="A451" t="s">
        <v>640</v>
      </c>
      <c r="B451" t="s">
        <v>30</v>
      </c>
      <c r="C451" t="s">
        <v>31</v>
      </c>
      <c r="D451" t="s">
        <v>32</v>
      </c>
      <c r="E451" t="s">
        <v>33</v>
      </c>
      <c r="F451" t="s">
        <v>484</v>
      </c>
      <c r="G451">
        <v>90.878680000000003</v>
      </c>
      <c r="H451" t="s">
        <v>35</v>
      </c>
    </row>
    <row r="452" spans="1:8" x14ac:dyDescent="0.2">
      <c r="A452" t="s">
        <v>640</v>
      </c>
      <c r="B452" t="s">
        <v>30</v>
      </c>
      <c r="C452" t="s">
        <v>31</v>
      </c>
      <c r="D452" t="s">
        <v>32</v>
      </c>
      <c r="E452" t="s">
        <v>33</v>
      </c>
      <c r="F452" t="s">
        <v>485</v>
      </c>
      <c r="G452">
        <v>91.011039999999994</v>
      </c>
      <c r="H452" t="s">
        <v>35</v>
      </c>
    </row>
    <row r="453" spans="1:8" x14ac:dyDescent="0.2">
      <c r="A453" t="s">
        <v>640</v>
      </c>
      <c r="B453" t="s">
        <v>30</v>
      </c>
      <c r="C453" t="s">
        <v>31</v>
      </c>
      <c r="D453" t="s">
        <v>32</v>
      </c>
      <c r="E453" t="s">
        <v>33</v>
      </c>
      <c r="F453" t="s">
        <v>486</v>
      </c>
      <c r="G453">
        <v>90.964259999999996</v>
      </c>
      <c r="H453" t="s">
        <v>35</v>
      </c>
    </row>
    <row r="454" spans="1:8" x14ac:dyDescent="0.2">
      <c r="A454" t="s">
        <v>640</v>
      </c>
      <c r="B454" t="s">
        <v>30</v>
      </c>
      <c r="C454" t="s">
        <v>31</v>
      </c>
      <c r="D454" t="s">
        <v>32</v>
      </c>
      <c r="E454" t="s">
        <v>33</v>
      </c>
      <c r="F454" t="s">
        <v>487</v>
      </c>
      <c r="G454">
        <v>90.701530000000005</v>
      </c>
      <c r="H454" t="s">
        <v>35</v>
      </c>
    </row>
    <row r="455" spans="1:8" x14ac:dyDescent="0.2">
      <c r="A455" t="s">
        <v>640</v>
      </c>
      <c r="B455" t="s">
        <v>30</v>
      </c>
      <c r="C455" t="s">
        <v>31</v>
      </c>
      <c r="D455" t="s">
        <v>32</v>
      </c>
      <c r="E455" t="s">
        <v>33</v>
      </c>
      <c r="F455" t="s">
        <v>488</v>
      </c>
      <c r="G455">
        <v>90.27261</v>
      </c>
      <c r="H455" t="s">
        <v>35</v>
      </c>
    </row>
    <row r="456" spans="1:8" x14ac:dyDescent="0.2">
      <c r="A456" t="s">
        <v>640</v>
      </c>
      <c r="B456" t="s">
        <v>30</v>
      </c>
      <c r="C456" t="s">
        <v>31</v>
      </c>
      <c r="D456" t="s">
        <v>32</v>
      </c>
      <c r="E456" t="s">
        <v>33</v>
      </c>
      <c r="F456" t="s">
        <v>489</v>
      </c>
      <c r="G456">
        <v>90.676649999999995</v>
      </c>
      <c r="H456" t="s">
        <v>35</v>
      </c>
    </row>
    <row r="457" spans="1:8" x14ac:dyDescent="0.2">
      <c r="A457" t="s">
        <v>640</v>
      </c>
      <c r="B457" t="s">
        <v>30</v>
      </c>
      <c r="C457" t="s">
        <v>31</v>
      </c>
      <c r="D457" t="s">
        <v>32</v>
      </c>
      <c r="E457" t="s">
        <v>33</v>
      </c>
      <c r="F457" t="s">
        <v>490</v>
      </c>
      <c r="G457">
        <v>91.175250000000005</v>
      </c>
      <c r="H457" t="s">
        <v>35</v>
      </c>
    </row>
    <row r="458" spans="1:8" x14ac:dyDescent="0.2">
      <c r="A458" t="s">
        <v>640</v>
      </c>
      <c r="B458" t="s">
        <v>30</v>
      </c>
      <c r="C458" t="s">
        <v>31</v>
      </c>
      <c r="D458" t="s">
        <v>32</v>
      </c>
      <c r="E458" t="s">
        <v>33</v>
      </c>
      <c r="F458" t="s">
        <v>491</v>
      </c>
      <c r="G458">
        <v>91.491709999999998</v>
      </c>
      <c r="H458" t="s">
        <v>35</v>
      </c>
    </row>
    <row r="459" spans="1:8" x14ac:dyDescent="0.2">
      <c r="A459" t="s">
        <v>640</v>
      </c>
      <c r="B459" t="s">
        <v>30</v>
      </c>
      <c r="C459" t="s">
        <v>31</v>
      </c>
      <c r="D459" t="s">
        <v>32</v>
      </c>
      <c r="E459" t="s">
        <v>33</v>
      </c>
      <c r="F459" t="s">
        <v>492</v>
      </c>
      <c r="G459">
        <v>91.595209999999994</v>
      </c>
      <c r="H459" t="s">
        <v>35</v>
      </c>
    </row>
    <row r="460" spans="1:8" x14ac:dyDescent="0.2">
      <c r="A460" t="s">
        <v>640</v>
      </c>
      <c r="B460" t="s">
        <v>30</v>
      </c>
      <c r="C460" t="s">
        <v>31</v>
      </c>
      <c r="D460" t="s">
        <v>32</v>
      </c>
      <c r="E460" t="s">
        <v>33</v>
      </c>
      <c r="F460" t="s">
        <v>493</v>
      </c>
      <c r="G460">
        <v>91.479770000000002</v>
      </c>
      <c r="H460" t="s">
        <v>35</v>
      </c>
    </row>
    <row r="461" spans="1:8" x14ac:dyDescent="0.2">
      <c r="A461" t="s">
        <v>640</v>
      </c>
      <c r="B461" t="s">
        <v>30</v>
      </c>
      <c r="C461" t="s">
        <v>31</v>
      </c>
      <c r="D461" t="s">
        <v>32</v>
      </c>
      <c r="E461" t="s">
        <v>33</v>
      </c>
      <c r="F461" t="s">
        <v>494</v>
      </c>
      <c r="G461">
        <v>91.488730000000004</v>
      </c>
      <c r="H461" t="s">
        <v>35</v>
      </c>
    </row>
    <row r="462" spans="1:8" x14ac:dyDescent="0.2">
      <c r="A462" t="s">
        <v>640</v>
      </c>
      <c r="B462" t="s">
        <v>30</v>
      </c>
      <c r="C462" t="s">
        <v>31</v>
      </c>
      <c r="D462" t="s">
        <v>32</v>
      </c>
      <c r="E462" t="s">
        <v>33</v>
      </c>
      <c r="F462" t="s">
        <v>495</v>
      </c>
      <c r="G462">
        <v>92.843180000000004</v>
      </c>
      <c r="H462" t="s">
        <v>35</v>
      </c>
    </row>
    <row r="463" spans="1:8" x14ac:dyDescent="0.2">
      <c r="A463" t="s">
        <v>640</v>
      </c>
      <c r="B463" t="s">
        <v>30</v>
      </c>
      <c r="C463" t="s">
        <v>31</v>
      </c>
      <c r="D463" t="s">
        <v>32</v>
      </c>
      <c r="E463" t="s">
        <v>33</v>
      </c>
      <c r="F463" t="s">
        <v>496</v>
      </c>
      <c r="G463">
        <v>93.133769999999998</v>
      </c>
      <c r="H463" t="s">
        <v>35</v>
      </c>
    </row>
    <row r="464" spans="1:8" x14ac:dyDescent="0.2">
      <c r="A464" t="s">
        <v>640</v>
      </c>
      <c r="B464" t="s">
        <v>30</v>
      </c>
      <c r="C464" t="s">
        <v>31</v>
      </c>
      <c r="D464" t="s">
        <v>32</v>
      </c>
      <c r="E464" t="s">
        <v>33</v>
      </c>
      <c r="F464" t="s">
        <v>497</v>
      </c>
      <c r="G464">
        <v>93.541799999999995</v>
      </c>
      <c r="H464" t="s">
        <v>35</v>
      </c>
    </row>
    <row r="465" spans="1:8" x14ac:dyDescent="0.2">
      <c r="A465" t="s">
        <v>640</v>
      </c>
      <c r="B465" t="s">
        <v>30</v>
      </c>
      <c r="C465" t="s">
        <v>31</v>
      </c>
      <c r="D465" t="s">
        <v>32</v>
      </c>
      <c r="E465" t="s">
        <v>33</v>
      </c>
      <c r="F465" t="s">
        <v>498</v>
      </c>
      <c r="G465">
        <v>94.010540000000006</v>
      </c>
      <c r="H465" t="s">
        <v>35</v>
      </c>
    </row>
    <row r="466" spans="1:8" x14ac:dyDescent="0.2">
      <c r="A466" t="s">
        <v>640</v>
      </c>
      <c r="B466" t="s">
        <v>30</v>
      </c>
      <c r="C466" t="s">
        <v>31</v>
      </c>
      <c r="D466" t="s">
        <v>32</v>
      </c>
      <c r="E466" t="s">
        <v>33</v>
      </c>
      <c r="F466" t="s">
        <v>499</v>
      </c>
      <c r="G466">
        <v>93.466170000000005</v>
      </c>
      <c r="H466" t="s">
        <v>35</v>
      </c>
    </row>
    <row r="467" spans="1:8" x14ac:dyDescent="0.2">
      <c r="A467" t="s">
        <v>640</v>
      </c>
      <c r="B467" t="s">
        <v>30</v>
      </c>
      <c r="C467" t="s">
        <v>31</v>
      </c>
      <c r="D467" t="s">
        <v>32</v>
      </c>
      <c r="E467" t="s">
        <v>33</v>
      </c>
      <c r="F467" t="s">
        <v>500</v>
      </c>
      <c r="G467">
        <v>92.994450000000001</v>
      </c>
      <c r="H467" t="s">
        <v>35</v>
      </c>
    </row>
    <row r="468" spans="1:8" x14ac:dyDescent="0.2">
      <c r="A468" t="s">
        <v>640</v>
      </c>
      <c r="B468" t="s">
        <v>30</v>
      </c>
      <c r="C468" t="s">
        <v>31</v>
      </c>
      <c r="D468" t="s">
        <v>32</v>
      </c>
      <c r="E468" t="s">
        <v>33</v>
      </c>
      <c r="F468" t="s">
        <v>501</v>
      </c>
      <c r="G468">
        <v>93.491050000000001</v>
      </c>
      <c r="H468" t="s">
        <v>35</v>
      </c>
    </row>
    <row r="469" spans="1:8" x14ac:dyDescent="0.2">
      <c r="A469" t="s">
        <v>640</v>
      </c>
      <c r="B469" t="s">
        <v>30</v>
      </c>
      <c r="C469" t="s">
        <v>31</v>
      </c>
      <c r="D469" t="s">
        <v>32</v>
      </c>
      <c r="E469" t="s">
        <v>33</v>
      </c>
      <c r="F469" t="s">
        <v>502</v>
      </c>
      <c r="G469">
        <v>93.34675</v>
      </c>
      <c r="H469" t="s">
        <v>35</v>
      </c>
    </row>
    <row r="470" spans="1:8" x14ac:dyDescent="0.2">
      <c r="A470" t="s">
        <v>640</v>
      </c>
      <c r="B470" t="s">
        <v>30</v>
      </c>
      <c r="C470" t="s">
        <v>31</v>
      </c>
      <c r="D470" t="s">
        <v>32</v>
      </c>
      <c r="E470" t="s">
        <v>33</v>
      </c>
      <c r="F470" t="s">
        <v>503</v>
      </c>
      <c r="G470">
        <v>92.751630000000006</v>
      </c>
      <c r="H470" t="s">
        <v>35</v>
      </c>
    </row>
    <row r="471" spans="1:8" x14ac:dyDescent="0.2">
      <c r="A471" t="s">
        <v>640</v>
      </c>
      <c r="B471" t="s">
        <v>30</v>
      </c>
      <c r="C471" t="s">
        <v>31</v>
      </c>
      <c r="D471" t="s">
        <v>32</v>
      </c>
      <c r="E471" t="s">
        <v>33</v>
      </c>
      <c r="F471" t="s">
        <v>504</v>
      </c>
      <c r="G471">
        <v>92.309759999999997</v>
      </c>
      <c r="H471" t="s">
        <v>35</v>
      </c>
    </row>
    <row r="472" spans="1:8" x14ac:dyDescent="0.2">
      <c r="A472" t="s">
        <v>640</v>
      </c>
      <c r="B472" t="s">
        <v>30</v>
      </c>
      <c r="C472" t="s">
        <v>31</v>
      </c>
      <c r="D472" t="s">
        <v>32</v>
      </c>
      <c r="E472" t="s">
        <v>33</v>
      </c>
      <c r="F472" t="s">
        <v>505</v>
      </c>
      <c r="G472">
        <v>91.716629999999995</v>
      </c>
      <c r="H472" t="s">
        <v>35</v>
      </c>
    </row>
    <row r="473" spans="1:8" x14ac:dyDescent="0.2">
      <c r="A473" t="s">
        <v>640</v>
      </c>
      <c r="B473" t="s">
        <v>30</v>
      </c>
      <c r="C473" t="s">
        <v>31</v>
      </c>
      <c r="D473" t="s">
        <v>32</v>
      </c>
      <c r="E473" t="s">
        <v>33</v>
      </c>
      <c r="F473" t="s">
        <v>506</v>
      </c>
      <c r="G473">
        <v>91.667860000000005</v>
      </c>
      <c r="H473" t="s">
        <v>35</v>
      </c>
    </row>
    <row r="474" spans="1:8" x14ac:dyDescent="0.2">
      <c r="A474" t="s">
        <v>640</v>
      </c>
      <c r="B474" t="s">
        <v>30</v>
      </c>
      <c r="C474" t="s">
        <v>31</v>
      </c>
      <c r="D474" t="s">
        <v>32</v>
      </c>
      <c r="E474" t="s">
        <v>33</v>
      </c>
      <c r="F474" t="s">
        <v>507</v>
      </c>
      <c r="G474">
        <v>92.396339999999995</v>
      </c>
      <c r="H474" t="s">
        <v>35</v>
      </c>
    </row>
    <row r="475" spans="1:8" x14ac:dyDescent="0.2">
      <c r="A475" t="s">
        <v>640</v>
      </c>
      <c r="B475" t="s">
        <v>30</v>
      </c>
      <c r="C475" t="s">
        <v>31</v>
      </c>
      <c r="D475" t="s">
        <v>32</v>
      </c>
      <c r="E475" t="s">
        <v>33</v>
      </c>
      <c r="F475" t="s">
        <v>508</v>
      </c>
      <c r="G475">
        <v>92.627229999999997</v>
      </c>
      <c r="H475" t="s">
        <v>35</v>
      </c>
    </row>
    <row r="476" spans="1:8" x14ac:dyDescent="0.2">
      <c r="A476" t="s">
        <v>640</v>
      </c>
      <c r="B476" t="s">
        <v>30</v>
      </c>
      <c r="C476" t="s">
        <v>31</v>
      </c>
      <c r="D476" t="s">
        <v>32</v>
      </c>
      <c r="E476" t="s">
        <v>33</v>
      </c>
      <c r="F476" t="s">
        <v>509</v>
      </c>
      <c r="G476">
        <v>92.446100000000001</v>
      </c>
      <c r="H476" t="s">
        <v>35</v>
      </c>
    </row>
    <row r="477" spans="1:8" x14ac:dyDescent="0.2">
      <c r="A477" t="s">
        <v>640</v>
      </c>
      <c r="B477" t="s">
        <v>30</v>
      </c>
      <c r="C477" t="s">
        <v>31</v>
      </c>
      <c r="D477" t="s">
        <v>32</v>
      </c>
      <c r="E477" t="s">
        <v>33</v>
      </c>
      <c r="F477" t="s">
        <v>510</v>
      </c>
      <c r="G477">
        <v>92.51576</v>
      </c>
      <c r="H477" t="s">
        <v>35</v>
      </c>
    </row>
    <row r="478" spans="1:8" x14ac:dyDescent="0.2">
      <c r="A478" t="s">
        <v>640</v>
      </c>
      <c r="B478" t="s">
        <v>30</v>
      </c>
      <c r="C478" t="s">
        <v>31</v>
      </c>
      <c r="D478" t="s">
        <v>32</v>
      </c>
      <c r="E478" t="s">
        <v>33</v>
      </c>
      <c r="F478" t="s">
        <v>511</v>
      </c>
      <c r="G478">
        <v>92.024140000000003</v>
      </c>
      <c r="H478" t="s">
        <v>35</v>
      </c>
    </row>
    <row r="479" spans="1:8" x14ac:dyDescent="0.2">
      <c r="A479" t="s">
        <v>640</v>
      </c>
      <c r="B479" t="s">
        <v>30</v>
      </c>
      <c r="C479" t="s">
        <v>31</v>
      </c>
      <c r="D479" t="s">
        <v>32</v>
      </c>
      <c r="E479" t="s">
        <v>33</v>
      </c>
      <c r="F479" t="s">
        <v>512</v>
      </c>
      <c r="G479">
        <v>91.757429999999999</v>
      </c>
      <c r="H479" t="s">
        <v>35</v>
      </c>
    </row>
    <row r="480" spans="1:8" x14ac:dyDescent="0.2">
      <c r="A480" t="s">
        <v>640</v>
      </c>
      <c r="B480" t="s">
        <v>30</v>
      </c>
      <c r="C480" t="s">
        <v>31</v>
      </c>
      <c r="D480" t="s">
        <v>32</v>
      </c>
      <c r="E480" t="s">
        <v>33</v>
      </c>
      <c r="F480" t="s">
        <v>513</v>
      </c>
      <c r="G480">
        <v>91.934569999999994</v>
      </c>
      <c r="H480" t="s">
        <v>35</v>
      </c>
    </row>
    <row r="481" spans="1:8" x14ac:dyDescent="0.2">
      <c r="A481" t="s">
        <v>640</v>
      </c>
      <c r="B481" t="s">
        <v>30</v>
      </c>
      <c r="C481" t="s">
        <v>31</v>
      </c>
      <c r="D481" t="s">
        <v>32</v>
      </c>
      <c r="E481" t="s">
        <v>33</v>
      </c>
      <c r="F481" t="s">
        <v>514</v>
      </c>
      <c r="G481">
        <v>91.986320000000006</v>
      </c>
      <c r="H481" t="s">
        <v>35</v>
      </c>
    </row>
    <row r="482" spans="1:8" x14ac:dyDescent="0.2">
      <c r="A482" t="s">
        <v>640</v>
      </c>
      <c r="B482" t="s">
        <v>30</v>
      </c>
      <c r="C482" t="s">
        <v>31</v>
      </c>
      <c r="D482" t="s">
        <v>32</v>
      </c>
      <c r="E482" t="s">
        <v>33</v>
      </c>
      <c r="F482" t="s">
        <v>515</v>
      </c>
      <c r="G482">
        <v>92.203280000000007</v>
      </c>
      <c r="H482" t="s">
        <v>35</v>
      </c>
    </row>
    <row r="483" spans="1:8" x14ac:dyDescent="0.2">
      <c r="A483" t="s">
        <v>640</v>
      </c>
      <c r="B483" t="s">
        <v>30</v>
      </c>
      <c r="C483" t="s">
        <v>31</v>
      </c>
      <c r="D483" t="s">
        <v>32</v>
      </c>
      <c r="E483" t="s">
        <v>33</v>
      </c>
      <c r="F483" t="s">
        <v>516</v>
      </c>
      <c r="G483">
        <v>92.266970000000001</v>
      </c>
      <c r="H483" t="s">
        <v>35</v>
      </c>
    </row>
    <row r="484" spans="1:8" x14ac:dyDescent="0.2">
      <c r="A484" t="s">
        <v>640</v>
      </c>
      <c r="B484" t="s">
        <v>30</v>
      </c>
      <c r="C484" t="s">
        <v>31</v>
      </c>
      <c r="D484" t="s">
        <v>32</v>
      </c>
      <c r="E484" t="s">
        <v>33</v>
      </c>
      <c r="F484" t="s">
        <v>517</v>
      </c>
      <c r="G484">
        <v>91.82311</v>
      </c>
      <c r="H484" t="s">
        <v>35</v>
      </c>
    </row>
    <row r="485" spans="1:8" x14ac:dyDescent="0.2">
      <c r="A485" t="s">
        <v>640</v>
      </c>
      <c r="B485" t="s">
        <v>30</v>
      </c>
      <c r="C485" t="s">
        <v>31</v>
      </c>
      <c r="D485" t="s">
        <v>32</v>
      </c>
      <c r="E485" t="s">
        <v>33</v>
      </c>
      <c r="F485" t="s">
        <v>518</v>
      </c>
      <c r="G485">
        <v>91.853970000000004</v>
      </c>
      <c r="H485" t="s">
        <v>35</v>
      </c>
    </row>
    <row r="486" spans="1:8" x14ac:dyDescent="0.2">
      <c r="A486" t="s">
        <v>640</v>
      </c>
      <c r="B486" t="s">
        <v>30</v>
      </c>
      <c r="C486" t="s">
        <v>31</v>
      </c>
      <c r="D486" t="s">
        <v>32</v>
      </c>
      <c r="E486" t="s">
        <v>33</v>
      </c>
      <c r="F486" t="s">
        <v>519</v>
      </c>
      <c r="G486">
        <v>92.919809999999998</v>
      </c>
      <c r="H486" t="s">
        <v>35</v>
      </c>
    </row>
    <row r="487" spans="1:8" x14ac:dyDescent="0.2">
      <c r="A487" t="s">
        <v>640</v>
      </c>
      <c r="B487" t="s">
        <v>30</v>
      </c>
      <c r="C487" t="s">
        <v>31</v>
      </c>
      <c r="D487" t="s">
        <v>32</v>
      </c>
      <c r="E487" t="s">
        <v>33</v>
      </c>
      <c r="F487" t="s">
        <v>520</v>
      </c>
      <c r="G487">
        <v>93.297979999999995</v>
      </c>
      <c r="H487" t="s">
        <v>35</v>
      </c>
    </row>
    <row r="488" spans="1:8" x14ac:dyDescent="0.2">
      <c r="A488" t="s">
        <v>640</v>
      </c>
      <c r="B488" t="s">
        <v>30</v>
      </c>
      <c r="C488" t="s">
        <v>31</v>
      </c>
      <c r="D488" t="s">
        <v>32</v>
      </c>
      <c r="E488" t="s">
        <v>33</v>
      </c>
      <c r="F488" t="s">
        <v>521</v>
      </c>
      <c r="G488">
        <v>93.424369999999996</v>
      </c>
      <c r="H488" t="s">
        <v>35</v>
      </c>
    </row>
    <row r="489" spans="1:8" x14ac:dyDescent="0.2">
      <c r="A489" t="s">
        <v>640</v>
      </c>
      <c r="B489" t="s">
        <v>30</v>
      </c>
      <c r="C489" t="s">
        <v>31</v>
      </c>
      <c r="D489" t="s">
        <v>32</v>
      </c>
      <c r="E489" t="s">
        <v>33</v>
      </c>
      <c r="F489" t="s">
        <v>522</v>
      </c>
      <c r="G489">
        <v>93.602509999999995</v>
      </c>
      <c r="H489" t="s">
        <v>35</v>
      </c>
    </row>
    <row r="490" spans="1:8" x14ac:dyDescent="0.2">
      <c r="A490" t="s">
        <v>640</v>
      </c>
      <c r="B490" t="s">
        <v>30</v>
      </c>
      <c r="C490" t="s">
        <v>31</v>
      </c>
      <c r="D490" t="s">
        <v>32</v>
      </c>
      <c r="E490" t="s">
        <v>33</v>
      </c>
      <c r="F490" t="s">
        <v>523</v>
      </c>
      <c r="G490">
        <v>93.761740000000003</v>
      </c>
      <c r="H490" t="s">
        <v>35</v>
      </c>
    </row>
    <row r="491" spans="1:8" x14ac:dyDescent="0.2">
      <c r="A491" t="s">
        <v>640</v>
      </c>
      <c r="B491" t="s">
        <v>30</v>
      </c>
      <c r="C491" t="s">
        <v>31</v>
      </c>
      <c r="D491" t="s">
        <v>32</v>
      </c>
      <c r="E491" t="s">
        <v>33</v>
      </c>
      <c r="F491" t="s">
        <v>524</v>
      </c>
      <c r="G491">
        <v>93.574650000000005</v>
      </c>
      <c r="H491" t="s">
        <v>35</v>
      </c>
    </row>
    <row r="492" spans="1:8" x14ac:dyDescent="0.2">
      <c r="A492" t="s">
        <v>640</v>
      </c>
      <c r="B492" t="s">
        <v>30</v>
      </c>
      <c r="C492" t="s">
        <v>31</v>
      </c>
      <c r="D492" t="s">
        <v>32</v>
      </c>
      <c r="E492" t="s">
        <v>33</v>
      </c>
      <c r="F492" t="s">
        <v>525</v>
      </c>
      <c r="G492">
        <v>93.745819999999995</v>
      </c>
      <c r="H492" t="s">
        <v>35</v>
      </c>
    </row>
    <row r="493" spans="1:8" x14ac:dyDescent="0.2">
      <c r="A493" t="s">
        <v>640</v>
      </c>
      <c r="B493" t="s">
        <v>30</v>
      </c>
      <c r="C493" t="s">
        <v>31</v>
      </c>
      <c r="D493" t="s">
        <v>32</v>
      </c>
      <c r="E493" t="s">
        <v>33</v>
      </c>
      <c r="F493" t="s">
        <v>526</v>
      </c>
      <c r="G493">
        <v>94.145880000000005</v>
      </c>
      <c r="H493" t="s">
        <v>35</v>
      </c>
    </row>
    <row r="494" spans="1:8" x14ac:dyDescent="0.2">
      <c r="A494" t="s">
        <v>640</v>
      </c>
      <c r="B494" t="s">
        <v>30</v>
      </c>
      <c r="C494" t="s">
        <v>31</v>
      </c>
      <c r="D494" t="s">
        <v>32</v>
      </c>
      <c r="E494" t="s">
        <v>33</v>
      </c>
      <c r="F494" t="s">
        <v>527</v>
      </c>
      <c r="G494">
        <v>94.311080000000004</v>
      </c>
      <c r="H494" t="s">
        <v>35</v>
      </c>
    </row>
    <row r="495" spans="1:8" x14ac:dyDescent="0.2">
      <c r="A495" t="s">
        <v>640</v>
      </c>
      <c r="B495" t="s">
        <v>30</v>
      </c>
      <c r="C495" t="s">
        <v>31</v>
      </c>
      <c r="D495" t="s">
        <v>32</v>
      </c>
      <c r="E495" t="s">
        <v>33</v>
      </c>
      <c r="F495" t="s">
        <v>528</v>
      </c>
      <c r="G495">
        <v>94.58775</v>
      </c>
      <c r="H495" t="s">
        <v>35</v>
      </c>
    </row>
    <row r="496" spans="1:8" x14ac:dyDescent="0.2">
      <c r="A496" t="s">
        <v>640</v>
      </c>
      <c r="B496" t="s">
        <v>30</v>
      </c>
      <c r="C496" t="s">
        <v>31</v>
      </c>
      <c r="D496" t="s">
        <v>32</v>
      </c>
      <c r="E496" t="s">
        <v>33</v>
      </c>
      <c r="F496" t="s">
        <v>529</v>
      </c>
      <c r="G496">
        <v>95.13212</v>
      </c>
      <c r="H496" t="s">
        <v>35</v>
      </c>
    </row>
    <row r="497" spans="1:8" x14ac:dyDescent="0.2">
      <c r="A497" t="s">
        <v>640</v>
      </c>
      <c r="B497" t="s">
        <v>30</v>
      </c>
      <c r="C497" t="s">
        <v>31</v>
      </c>
      <c r="D497" t="s">
        <v>32</v>
      </c>
      <c r="E497" t="s">
        <v>33</v>
      </c>
      <c r="F497" t="s">
        <v>530</v>
      </c>
      <c r="G497">
        <v>95.127139999999997</v>
      </c>
      <c r="H497" t="s">
        <v>35</v>
      </c>
    </row>
    <row r="498" spans="1:8" x14ac:dyDescent="0.2">
      <c r="A498" t="s">
        <v>640</v>
      </c>
      <c r="B498" t="s">
        <v>30</v>
      </c>
      <c r="C498" t="s">
        <v>31</v>
      </c>
      <c r="D498" t="s">
        <v>32</v>
      </c>
      <c r="E498" t="s">
        <v>33</v>
      </c>
      <c r="F498" t="s">
        <v>531</v>
      </c>
      <c r="G498">
        <v>96.657740000000004</v>
      </c>
      <c r="H498" t="s">
        <v>35</v>
      </c>
    </row>
    <row r="499" spans="1:8" x14ac:dyDescent="0.2">
      <c r="A499" t="s">
        <v>640</v>
      </c>
      <c r="B499" t="s">
        <v>30</v>
      </c>
      <c r="C499" t="s">
        <v>31</v>
      </c>
      <c r="D499" t="s">
        <v>32</v>
      </c>
      <c r="E499" t="s">
        <v>33</v>
      </c>
      <c r="F499" t="s">
        <v>532</v>
      </c>
      <c r="G499">
        <v>97.064769999999996</v>
      </c>
      <c r="H499" t="s">
        <v>35</v>
      </c>
    </row>
    <row r="500" spans="1:8" x14ac:dyDescent="0.2">
      <c r="A500" t="s">
        <v>640</v>
      </c>
      <c r="B500" t="s">
        <v>30</v>
      </c>
      <c r="C500" t="s">
        <v>31</v>
      </c>
      <c r="D500" t="s">
        <v>32</v>
      </c>
      <c r="E500" t="s">
        <v>33</v>
      </c>
      <c r="F500" t="s">
        <v>533</v>
      </c>
      <c r="G500">
        <v>97.015010000000004</v>
      </c>
      <c r="H500" t="s">
        <v>35</v>
      </c>
    </row>
    <row r="501" spans="1:8" x14ac:dyDescent="0.2">
      <c r="A501" t="s">
        <v>640</v>
      </c>
      <c r="B501" t="s">
        <v>30</v>
      </c>
      <c r="C501" t="s">
        <v>31</v>
      </c>
      <c r="D501" t="s">
        <v>32</v>
      </c>
      <c r="E501" t="s">
        <v>33</v>
      </c>
      <c r="F501" t="s">
        <v>534</v>
      </c>
      <c r="G501">
        <v>96.790099999999995</v>
      </c>
      <c r="H501" t="s">
        <v>35</v>
      </c>
    </row>
    <row r="502" spans="1:8" x14ac:dyDescent="0.2">
      <c r="A502" t="s">
        <v>640</v>
      </c>
      <c r="B502" t="s">
        <v>30</v>
      </c>
      <c r="C502" t="s">
        <v>31</v>
      </c>
      <c r="D502" t="s">
        <v>32</v>
      </c>
      <c r="E502" t="s">
        <v>33</v>
      </c>
      <c r="F502" t="s">
        <v>535</v>
      </c>
      <c r="G502">
        <v>96.717449999999999</v>
      </c>
      <c r="H502" t="s">
        <v>35</v>
      </c>
    </row>
    <row r="503" spans="1:8" x14ac:dyDescent="0.2">
      <c r="A503" t="s">
        <v>640</v>
      </c>
      <c r="B503" t="s">
        <v>30</v>
      </c>
      <c r="C503" t="s">
        <v>31</v>
      </c>
      <c r="D503" t="s">
        <v>32</v>
      </c>
      <c r="E503" t="s">
        <v>33</v>
      </c>
      <c r="F503" t="s">
        <v>536</v>
      </c>
      <c r="G503">
        <v>96.293499999999995</v>
      </c>
      <c r="H503" t="s">
        <v>35</v>
      </c>
    </row>
    <row r="504" spans="1:8" x14ac:dyDescent="0.2">
      <c r="A504" t="s">
        <v>640</v>
      </c>
      <c r="B504" t="s">
        <v>30</v>
      </c>
      <c r="C504" t="s">
        <v>31</v>
      </c>
      <c r="D504" t="s">
        <v>32</v>
      </c>
      <c r="E504" t="s">
        <v>33</v>
      </c>
      <c r="F504" t="s">
        <v>537</v>
      </c>
      <c r="G504">
        <v>97.078699999999998</v>
      </c>
      <c r="H504" t="s">
        <v>35</v>
      </c>
    </row>
    <row r="505" spans="1:8" x14ac:dyDescent="0.2">
      <c r="A505" t="s">
        <v>640</v>
      </c>
      <c r="B505" t="s">
        <v>30</v>
      </c>
      <c r="C505" t="s">
        <v>31</v>
      </c>
      <c r="D505" t="s">
        <v>32</v>
      </c>
      <c r="E505" t="s">
        <v>33</v>
      </c>
      <c r="F505" t="s">
        <v>538</v>
      </c>
      <c r="G505">
        <v>98.098780000000005</v>
      </c>
      <c r="H505" t="s">
        <v>35</v>
      </c>
    </row>
    <row r="506" spans="1:8" x14ac:dyDescent="0.2">
      <c r="A506" t="s">
        <v>640</v>
      </c>
      <c r="B506" t="s">
        <v>30</v>
      </c>
      <c r="C506" t="s">
        <v>31</v>
      </c>
      <c r="D506" t="s">
        <v>32</v>
      </c>
      <c r="E506" t="s">
        <v>33</v>
      </c>
      <c r="F506" t="s">
        <v>539</v>
      </c>
      <c r="G506">
        <v>98.021150000000006</v>
      </c>
      <c r="H506" t="s">
        <v>35</v>
      </c>
    </row>
    <row r="507" spans="1:8" x14ac:dyDescent="0.2">
      <c r="A507" t="s">
        <v>640</v>
      </c>
      <c r="B507" t="s">
        <v>30</v>
      </c>
      <c r="C507" t="s">
        <v>31</v>
      </c>
      <c r="D507" t="s">
        <v>32</v>
      </c>
      <c r="E507" t="s">
        <v>33</v>
      </c>
      <c r="F507" t="s">
        <v>540</v>
      </c>
      <c r="G507">
        <v>98.004230000000007</v>
      </c>
      <c r="H507" t="s">
        <v>35</v>
      </c>
    </row>
    <row r="508" spans="1:8" x14ac:dyDescent="0.2">
      <c r="A508" t="s">
        <v>640</v>
      </c>
      <c r="B508" t="s">
        <v>30</v>
      </c>
      <c r="C508" t="s">
        <v>31</v>
      </c>
      <c r="D508" t="s">
        <v>32</v>
      </c>
      <c r="E508" t="s">
        <v>33</v>
      </c>
      <c r="F508" t="s">
        <v>541</v>
      </c>
      <c r="G508">
        <v>98.471969999999999</v>
      </c>
      <c r="H508" t="s">
        <v>35</v>
      </c>
    </row>
    <row r="509" spans="1:8" x14ac:dyDescent="0.2">
      <c r="A509" t="s">
        <v>640</v>
      </c>
      <c r="B509" t="s">
        <v>30</v>
      </c>
      <c r="C509" t="s">
        <v>31</v>
      </c>
      <c r="D509" t="s">
        <v>32</v>
      </c>
      <c r="E509" t="s">
        <v>33</v>
      </c>
      <c r="F509" t="s">
        <v>542</v>
      </c>
      <c r="G509">
        <v>98.551580000000001</v>
      </c>
      <c r="H509" t="s">
        <v>35</v>
      </c>
    </row>
    <row r="510" spans="1:8" x14ac:dyDescent="0.2">
      <c r="A510" t="s">
        <v>640</v>
      </c>
      <c r="B510" t="s">
        <v>30</v>
      </c>
      <c r="C510" t="s">
        <v>31</v>
      </c>
      <c r="D510" t="s">
        <v>32</v>
      </c>
      <c r="E510" t="s">
        <v>33</v>
      </c>
      <c r="F510" t="s">
        <v>543</v>
      </c>
      <c r="G510">
        <v>99.701030000000003</v>
      </c>
      <c r="H510" t="s">
        <v>35</v>
      </c>
    </row>
    <row r="511" spans="1:8" x14ac:dyDescent="0.2">
      <c r="A511" t="s">
        <v>640</v>
      </c>
      <c r="B511" t="s">
        <v>30</v>
      </c>
      <c r="C511" t="s">
        <v>31</v>
      </c>
      <c r="D511" t="s">
        <v>32</v>
      </c>
      <c r="E511" t="s">
        <v>33</v>
      </c>
      <c r="F511" t="s">
        <v>544</v>
      </c>
      <c r="G511">
        <v>99.981669999999994</v>
      </c>
      <c r="H511" t="s">
        <v>35</v>
      </c>
    </row>
    <row r="512" spans="1:8" x14ac:dyDescent="0.2">
      <c r="A512" t="s">
        <v>640</v>
      </c>
      <c r="B512" t="s">
        <v>30</v>
      </c>
      <c r="C512" t="s">
        <v>31</v>
      </c>
      <c r="D512" t="s">
        <v>32</v>
      </c>
      <c r="E512" t="s">
        <v>33</v>
      </c>
      <c r="F512" t="s">
        <v>545</v>
      </c>
      <c r="G512">
        <v>99.631360000000001</v>
      </c>
      <c r="H512" t="s">
        <v>35</v>
      </c>
    </row>
    <row r="513" spans="1:8" x14ac:dyDescent="0.2">
      <c r="A513" t="s">
        <v>640</v>
      </c>
      <c r="B513" t="s">
        <v>30</v>
      </c>
      <c r="C513" t="s">
        <v>31</v>
      </c>
      <c r="D513" t="s">
        <v>32</v>
      </c>
      <c r="E513" t="s">
        <v>33</v>
      </c>
      <c r="F513" t="s">
        <v>546</v>
      </c>
      <c r="G513">
        <v>99.413420000000002</v>
      </c>
      <c r="H513" t="s">
        <v>35</v>
      </c>
    </row>
    <row r="514" spans="1:8" x14ac:dyDescent="0.2">
      <c r="A514" t="s">
        <v>640</v>
      </c>
      <c r="B514" t="s">
        <v>30</v>
      </c>
      <c r="C514" t="s">
        <v>31</v>
      </c>
      <c r="D514" t="s">
        <v>32</v>
      </c>
      <c r="E514" t="s">
        <v>33</v>
      </c>
      <c r="F514" t="s">
        <v>547</v>
      </c>
      <c r="G514">
        <v>99.397499999999994</v>
      </c>
      <c r="H514" t="s">
        <v>35</v>
      </c>
    </row>
    <row r="515" spans="1:8" x14ac:dyDescent="0.2">
      <c r="A515" t="s">
        <v>640</v>
      </c>
      <c r="B515" t="s">
        <v>30</v>
      </c>
      <c r="C515" t="s">
        <v>31</v>
      </c>
      <c r="D515" t="s">
        <v>32</v>
      </c>
      <c r="E515" t="s">
        <v>33</v>
      </c>
      <c r="F515" t="s">
        <v>548</v>
      </c>
      <c r="G515">
        <v>99.256180000000001</v>
      </c>
      <c r="H515" t="s">
        <v>35</v>
      </c>
    </row>
    <row r="516" spans="1:8" x14ac:dyDescent="0.2">
      <c r="A516" t="s">
        <v>640</v>
      </c>
      <c r="B516" t="s">
        <v>30</v>
      </c>
      <c r="C516" t="s">
        <v>31</v>
      </c>
      <c r="D516" t="s">
        <v>32</v>
      </c>
      <c r="E516" t="s">
        <v>33</v>
      </c>
      <c r="F516" t="s">
        <v>549</v>
      </c>
      <c r="G516">
        <v>99.87518</v>
      </c>
      <c r="H516" t="s">
        <v>35</v>
      </c>
    </row>
    <row r="517" spans="1:8" x14ac:dyDescent="0.2">
      <c r="A517" t="s">
        <v>640</v>
      </c>
      <c r="B517" t="s">
        <v>30</v>
      </c>
      <c r="C517" t="s">
        <v>31</v>
      </c>
      <c r="D517" t="s">
        <v>32</v>
      </c>
      <c r="E517" t="s">
        <v>33</v>
      </c>
      <c r="F517" t="s">
        <v>550</v>
      </c>
      <c r="G517">
        <v>100.1887</v>
      </c>
      <c r="H517" t="s">
        <v>35</v>
      </c>
    </row>
    <row r="518" spans="1:8" x14ac:dyDescent="0.2">
      <c r="A518" t="s">
        <v>640</v>
      </c>
      <c r="B518" t="s">
        <v>30</v>
      </c>
      <c r="C518" t="s">
        <v>31</v>
      </c>
      <c r="D518" t="s">
        <v>32</v>
      </c>
      <c r="E518" t="s">
        <v>33</v>
      </c>
      <c r="F518" t="s">
        <v>551</v>
      </c>
      <c r="G518">
        <v>99.873199999999997</v>
      </c>
      <c r="H518" t="s">
        <v>35</v>
      </c>
    </row>
    <row r="519" spans="1:8" x14ac:dyDescent="0.2">
      <c r="A519" t="s">
        <v>640</v>
      </c>
      <c r="B519" t="s">
        <v>30</v>
      </c>
      <c r="C519" t="s">
        <v>31</v>
      </c>
      <c r="D519" t="s">
        <v>32</v>
      </c>
      <c r="E519" t="s">
        <v>33</v>
      </c>
      <c r="F519" t="s">
        <v>552</v>
      </c>
      <c r="G519">
        <v>99.885140000000007</v>
      </c>
      <c r="H519" t="s">
        <v>35</v>
      </c>
    </row>
    <row r="520" spans="1:8" x14ac:dyDescent="0.2">
      <c r="A520" t="s">
        <v>640</v>
      </c>
      <c r="B520" t="s">
        <v>30</v>
      </c>
      <c r="C520" t="s">
        <v>31</v>
      </c>
      <c r="D520" t="s">
        <v>32</v>
      </c>
      <c r="E520" t="s">
        <v>33</v>
      </c>
      <c r="F520" t="s">
        <v>553</v>
      </c>
      <c r="G520">
        <v>98.644130000000004</v>
      </c>
      <c r="H520" t="s">
        <v>35</v>
      </c>
    </row>
    <row r="521" spans="1:8" x14ac:dyDescent="0.2">
      <c r="A521" t="s">
        <v>640</v>
      </c>
      <c r="B521" t="s">
        <v>30</v>
      </c>
      <c r="C521" t="s">
        <v>31</v>
      </c>
      <c r="D521" t="s">
        <v>32</v>
      </c>
      <c r="E521" t="s">
        <v>33</v>
      </c>
      <c r="F521" t="s">
        <v>554</v>
      </c>
      <c r="G521">
        <v>98.525710000000004</v>
      </c>
      <c r="H521" t="s">
        <v>35</v>
      </c>
    </row>
    <row r="522" spans="1:8" x14ac:dyDescent="0.2">
      <c r="A522" t="s">
        <v>640</v>
      </c>
      <c r="B522" t="s">
        <v>30</v>
      </c>
      <c r="C522" t="s">
        <v>31</v>
      </c>
      <c r="D522" t="s">
        <v>32</v>
      </c>
      <c r="E522" t="s">
        <v>33</v>
      </c>
      <c r="F522" t="s">
        <v>555</v>
      </c>
      <c r="G522">
        <v>100.1538</v>
      </c>
      <c r="H522" t="s">
        <v>35</v>
      </c>
    </row>
    <row r="523" spans="1:8" x14ac:dyDescent="0.2">
      <c r="A523" t="s">
        <v>640</v>
      </c>
      <c r="B523" t="s">
        <v>30</v>
      </c>
      <c r="C523" t="s">
        <v>31</v>
      </c>
      <c r="D523" t="s">
        <v>32</v>
      </c>
      <c r="E523" t="s">
        <v>33</v>
      </c>
      <c r="F523" t="s">
        <v>556</v>
      </c>
      <c r="G523">
        <v>100.1648</v>
      </c>
      <c r="H523" t="s">
        <v>35</v>
      </c>
    </row>
    <row r="524" spans="1:8" x14ac:dyDescent="0.2">
      <c r="A524" t="s">
        <v>640</v>
      </c>
      <c r="B524" t="s">
        <v>30</v>
      </c>
      <c r="C524" t="s">
        <v>31</v>
      </c>
      <c r="D524" t="s">
        <v>32</v>
      </c>
      <c r="E524" t="s">
        <v>33</v>
      </c>
      <c r="F524" t="s">
        <v>557</v>
      </c>
      <c r="G524">
        <v>100.336</v>
      </c>
      <c r="H524" t="s">
        <v>35</v>
      </c>
    </row>
    <row r="525" spans="1:8" x14ac:dyDescent="0.2">
      <c r="A525" t="s">
        <v>640</v>
      </c>
      <c r="B525" t="s">
        <v>30</v>
      </c>
      <c r="C525" t="s">
        <v>31</v>
      </c>
      <c r="D525" t="s">
        <v>32</v>
      </c>
      <c r="E525" t="s">
        <v>33</v>
      </c>
      <c r="F525" t="s">
        <v>558</v>
      </c>
      <c r="G525">
        <v>100.3877</v>
      </c>
      <c r="H525" t="s">
        <v>35</v>
      </c>
    </row>
    <row r="526" spans="1:8" x14ac:dyDescent="0.2">
      <c r="A526" t="s">
        <v>640</v>
      </c>
      <c r="B526" t="s">
        <v>30</v>
      </c>
      <c r="C526" t="s">
        <v>31</v>
      </c>
      <c r="D526" t="s">
        <v>32</v>
      </c>
      <c r="E526" t="s">
        <v>33</v>
      </c>
      <c r="F526" t="s">
        <v>559</v>
      </c>
      <c r="G526">
        <v>100.15089999999999</v>
      </c>
      <c r="H526" t="s">
        <v>35</v>
      </c>
    </row>
    <row r="527" spans="1:8" x14ac:dyDescent="0.2">
      <c r="A527" t="s">
        <v>640</v>
      </c>
      <c r="B527" t="s">
        <v>30</v>
      </c>
      <c r="C527" t="s">
        <v>31</v>
      </c>
      <c r="D527" t="s">
        <v>32</v>
      </c>
      <c r="E527" t="s">
        <v>33</v>
      </c>
      <c r="F527" t="s">
        <v>560</v>
      </c>
      <c r="G527">
        <v>99.408439999999999</v>
      </c>
      <c r="H527" t="s">
        <v>35</v>
      </c>
    </row>
    <row r="528" spans="1:8" x14ac:dyDescent="0.2">
      <c r="A528" t="s">
        <v>640</v>
      </c>
      <c r="B528" t="s">
        <v>30</v>
      </c>
      <c r="C528" t="s">
        <v>31</v>
      </c>
      <c r="D528" t="s">
        <v>32</v>
      </c>
      <c r="E528" t="s">
        <v>33</v>
      </c>
      <c r="F528" t="s">
        <v>561</v>
      </c>
      <c r="G528">
        <v>99.990629999999996</v>
      </c>
      <c r="H528" t="s">
        <v>35</v>
      </c>
    </row>
    <row r="529" spans="1:8" x14ac:dyDescent="0.2">
      <c r="A529" t="s">
        <v>640</v>
      </c>
      <c r="B529" t="s">
        <v>30</v>
      </c>
      <c r="C529" t="s">
        <v>31</v>
      </c>
      <c r="D529" t="s">
        <v>32</v>
      </c>
      <c r="E529" t="s">
        <v>33</v>
      </c>
      <c r="F529" t="s">
        <v>562</v>
      </c>
      <c r="G529">
        <v>99.941860000000005</v>
      </c>
      <c r="H529" t="s">
        <v>35</v>
      </c>
    </row>
    <row r="530" spans="1:8" x14ac:dyDescent="0.2">
      <c r="A530" t="s">
        <v>640</v>
      </c>
      <c r="B530" t="s">
        <v>30</v>
      </c>
      <c r="C530" t="s">
        <v>31</v>
      </c>
      <c r="D530" t="s">
        <v>32</v>
      </c>
      <c r="E530" t="s">
        <v>33</v>
      </c>
      <c r="F530" t="s">
        <v>563</v>
      </c>
      <c r="G530">
        <v>99.719939999999994</v>
      </c>
      <c r="H530" t="s">
        <v>35</v>
      </c>
    </row>
    <row r="531" spans="1:8" x14ac:dyDescent="0.2">
      <c r="A531" t="s">
        <v>640</v>
      </c>
      <c r="B531" t="s">
        <v>30</v>
      </c>
      <c r="C531" t="s">
        <v>31</v>
      </c>
      <c r="D531" t="s">
        <v>32</v>
      </c>
      <c r="E531" t="s">
        <v>33</v>
      </c>
      <c r="F531" t="s">
        <v>564</v>
      </c>
      <c r="G531">
        <v>100.0802</v>
      </c>
      <c r="H531" t="s">
        <v>35</v>
      </c>
    </row>
    <row r="532" spans="1:8" x14ac:dyDescent="0.2">
      <c r="A532" t="s">
        <v>640</v>
      </c>
      <c r="B532" t="s">
        <v>30</v>
      </c>
      <c r="C532" t="s">
        <v>31</v>
      </c>
      <c r="D532" t="s">
        <v>32</v>
      </c>
      <c r="E532" t="s">
        <v>33</v>
      </c>
      <c r="F532" t="s">
        <v>565</v>
      </c>
      <c r="G532">
        <v>98.701859999999996</v>
      </c>
      <c r="H532" t="s">
        <v>35</v>
      </c>
    </row>
    <row r="533" spans="1:8" x14ac:dyDescent="0.2">
      <c r="A533" t="s">
        <v>640</v>
      </c>
      <c r="B533" t="s">
        <v>30</v>
      </c>
      <c r="C533" t="s">
        <v>31</v>
      </c>
      <c r="D533" t="s">
        <v>32</v>
      </c>
      <c r="E533" t="s">
        <v>33</v>
      </c>
      <c r="F533" t="s">
        <v>566</v>
      </c>
      <c r="G533">
        <v>98.444109999999995</v>
      </c>
      <c r="H533" t="s">
        <v>35</v>
      </c>
    </row>
    <row r="534" spans="1:8" x14ac:dyDescent="0.2">
      <c r="A534" t="s">
        <v>640</v>
      </c>
      <c r="B534" t="s">
        <v>30</v>
      </c>
      <c r="C534" t="s">
        <v>31</v>
      </c>
      <c r="D534" t="s">
        <v>32</v>
      </c>
      <c r="E534" t="s">
        <v>33</v>
      </c>
      <c r="F534" t="s">
        <v>567</v>
      </c>
      <c r="G534">
        <v>99.787610000000001</v>
      </c>
      <c r="H534" t="s">
        <v>35</v>
      </c>
    </row>
    <row r="535" spans="1:8" x14ac:dyDescent="0.2">
      <c r="A535" t="s">
        <v>640</v>
      </c>
      <c r="B535" t="s">
        <v>30</v>
      </c>
      <c r="C535" t="s">
        <v>31</v>
      </c>
      <c r="D535" t="s">
        <v>32</v>
      </c>
      <c r="E535" t="s">
        <v>33</v>
      </c>
      <c r="F535" t="s">
        <v>568</v>
      </c>
      <c r="G535">
        <v>100.0235</v>
      </c>
      <c r="H535" t="s">
        <v>35</v>
      </c>
    </row>
    <row r="536" spans="1:8" x14ac:dyDescent="0.2">
      <c r="A536" t="s">
        <v>640</v>
      </c>
      <c r="B536" t="s">
        <v>30</v>
      </c>
      <c r="C536" t="s">
        <v>31</v>
      </c>
      <c r="D536" t="s">
        <v>32</v>
      </c>
      <c r="E536" t="s">
        <v>33</v>
      </c>
      <c r="F536" t="s">
        <v>569</v>
      </c>
      <c r="G536">
        <v>99.896090000000001</v>
      </c>
      <c r="H536" t="s">
        <v>35</v>
      </c>
    </row>
    <row r="537" spans="1:8" x14ac:dyDescent="0.2">
      <c r="A537" t="s">
        <v>640</v>
      </c>
      <c r="B537" t="s">
        <v>30</v>
      </c>
      <c r="C537" t="s">
        <v>31</v>
      </c>
      <c r="D537" t="s">
        <v>32</v>
      </c>
      <c r="E537" t="s">
        <v>33</v>
      </c>
      <c r="F537" t="s">
        <v>570</v>
      </c>
      <c r="G537">
        <v>99.966740000000001</v>
      </c>
      <c r="H537" t="s">
        <v>35</v>
      </c>
    </row>
    <row r="538" spans="1:8" x14ac:dyDescent="0.2">
      <c r="A538" t="s">
        <v>640</v>
      </c>
      <c r="B538" t="s">
        <v>30</v>
      </c>
      <c r="C538" t="s">
        <v>31</v>
      </c>
      <c r="D538" t="s">
        <v>32</v>
      </c>
      <c r="E538" t="s">
        <v>33</v>
      </c>
      <c r="F538" t="s">
        <v>571</v>
      </c>
      <c r="G538">
        <v>99.277079999999998</v>
      </c>
      <c r="H538" t="s">
        <v>35</v>
      </c>
    </row>
    <row r="539" spans="1:8" x14ac:dyDescent="0.2">
      <c r="A539" t="s">
        <v>640</v>
      </c>
      <c r="B539" t="s">
        <v>30</v>
      </c>
      <c r="C539" t="s">
        <v>31</v>
      </c>
      <c r="D539" t="s">
        <v>32</v>
      </c>
      <c r="E539" t="s">
        <v>33</v>
      </c>
      <c r="F539" t="s">
        <v>572</v>
      </c>
      <c r="G539">
        <v>99.051169999999999</v>
      </c>
      <c r="H539" t="s">
        <v>35</v>
      </c>
    </row>
    <row r="540" spans="1:8" x14ac:dyDescent="0.2">
      <c r="A540" t="s">
        <v>640</v>
      </c>
      <c r="B540" t="s">
        <v>30</v>
      </c>
      <c r="C540" t="s">
        <v>31</v>
      </c>
      <c r="D540" t="s">
        <v>32</v>
      </c>
      <c r="E540" t="s">
        <v>33</v>
      </c>
      <c r="F540" t="s">
        <v>573</v>
      </c>
      <c r="G540">
        <v>99.617429999999999</v>
      </c>
      <c r="H540" t="s">
        <v>35</v>
      </c>
    </row>
    <row r="541" spans="1:8" x14ac:dyDescent="0.2">
      <c r="A541" t="s">
        <v>640</v>
      </c>
      <c r="B541" t="s">
        <v>30</v>
      </c>
      <c r="C541" t="s">
        <v>31</v>
      </c>
      <c r="D541" t="s">
        <v>32</v>
      </c>
      <c r="E541" t="s">
        <v>33</v>
      </c>
      <c r="F541" t="s">
        <v>574</v>
      </c>
      <c r="G541">
        <v>99.945849999999993</v>
      </c>
      <c r="H541" t="s">
        <v>35</v>
      </c>
    </row>
    <row r="542" spans="1:8" x14ac:dyDescent="0.2">
      <c r="A542" t="s">
        <v>640</v>
      </c>
      <c r="B542" t="s">
        <v>30</v>
      </c>
      <c r="C542" t="s">
        <v>31</v>
      </c>
      <c r="D542" t="s">
        <v>32</v>
      </c>
      <c r="E542" t="s">
        <v>33</v>
      </c>
      <c r="F542" t="s">
        <v>575</v>
      </c>
      <c r="G542">
        <v>99.738849999999999</v>
      </c>
      <c r="H542" t="s">
        <v>35</v>
      </c>
    </row>
    <row r="543" spans="1:8" x14ac:dyDescent="0.2">
      <c r="A543" t="s">
        <v>640</v>
      </c>
      <c r="B543" t="s">
        <v>30</v>
      </c>
      <c r="C543" t="s">
        <v>31</v>
      </c>
      <c r="D543" t="s">
        <v>32</v>
      </c>
      <c r="E543" t="s">
        <v>33</v>
      </c>
      <c r="F543" t="s">
        <v>576</v>
      </c>
      <c r="G543">
        <v>99.722920000000002</v>
      </c>
      <c r="H543" t="s">
        <v>35</v>
      </c>
    </row>
    <row r="544" spans="1:8" x14ac:dyDescent="0.2">
      <c r="A544" t="s">
        <v>640</v>
      </c>
      <c r="B544" t="s">
        <v>30</v>
      </c>
      <c r="C544" t="s">
        <v>31</v>
      </c>
      <c r="D544" t="s">
        <v>32</v>
      </c>
      <c r="E544" t="s">
        <v>33</v>
      </c>
      <c r="F544" t="s">
        <v>577</v>
      </c>
      <c r="G544">
        <v>98.313739999999996</v>
      </c>
      <c r="H544" t="s">
        <v>35</v>
      </c>
    </row>
    <row r="545" spans="1:8" x14ac:dyDescent="0.2">
      <c r="A545" t="s">
        <v>640</v>
      </c>
      <c r="B545" t="s">
        <v>30</v>
      </c>
      <c r="C545" t="s">
        <v>31</v>
      </c>
      <c r="D545" t="s">
        <v>32</v>
      </c>
      <c r="E545" t="s">
        <v>33</v>
      </c>
      <c r="F545" t="s">
        <v>578</v>
      </c>
      <c r="G545">
        <v>98.240089999999995</v>
      </c>
      <c r="H545" t="s">
        <v>35</v>
      </c>
    </row>
    <row r="546" spans="1:8" x14ac:dyDescent="0.2">
      <c r="A546" t="s">
        <v>640</v>
      </c>
      <c r="B546" t="s">
        <v>30</v>
      </c>
      <c r="C546" t="s">
        <v>31</v>
      </c>
      <c r="D546" t="s">
        <v>32</v>
      </c>
      <c r="E546" t="s">
        <v>33</v>
      </c>
      <c r="F546" t="s">
        <v>579</v>
      </c>
      <c r="G546">
        <v>100.0971</v>
      </c>
      <c r="H546" t="s">
        <v>35</v>
      </c>
    </row>
    <row r="547" spans="1:8" x14ac:dyDescent="0.2">
      <c r="A547" t="s">
        <v>640</v>
      </c>
      <c r="B547" t="s">
        <v>30</v>
      </c>
      <c r="C547" t="s">
        <v>31</v>
      </c>
      <c r="D547" t="s">
        <v>32</v>
      </c>
      <c r="E547" t="s">
        <v>33</v>
      </c>
      <c r="F547" t="s">
        <v>580</v>
      </c>
      <c r="G547">
        <v>100.42149999999999</v>
      </c>
      <c r="H547" t="s">
        <v>35</v>
      </c>
    </row>
    <row r="548" spans="1:8" x14ac:dyDescent="0.2">
      <c r="A548" t="s">
        <v>640</v>
      </c>
      <c r="B548" t="s">
        <v>30</v>
      </c>
      <c r="C548" t="s">
        <v>31</v>
      </c>
      <c r="D548" t="s">
        <v>32</v>
      </c>
      <c r="E548" t="s">
        <v>33</v>
      </c>
      <c r="F548" t="s">
        <v>581</v>
      </c>
      <c r="G548">
        <v>100.84950000000001</v>
      </c>
      <c r="H548" t="s">
        <v>35</v>
      </c>
    </row>
    <row r="549" spans="1:8" x14ac:dyDescent="0.2">
      <c r="A549" t="s">
        <v>640</v>
      </c>
      <c r="B549" t="s">
        <v>30</v>
      </c>
      <c r="C549" t="s">
        <v>31</v>
      </c>
      <c r="D549" t="s">
        <v>32</v>
      </c>
      <c r="E549" t="s">
        <v>33</v>
      </c>
      <c r="F549" t="s">
        <v>582</v>
      </c>
      <c r="G549">
        <v>100.7689</v>
      </c>
      <c r="H549" t="s">
        <v>35</v>
      </c>
    </row>
    <row r="550" spans="1:8" x14ac:dyDescent="0.2">
      <c r="A550" t="s">
        <v>640</v>
      </c>
      <c r="B550" t="s">
        <v>30</v>
      </c>
      <c r="C550" t="s">
        <v>31</v>
      </c>
      <c r="D550" t="s">
        <v>32</v>
      </c>
      <c r="E550" t="s">
        <v>33</v>
      </c>
      <c r="F550" t="s">
        <v>583</v>
      </c>
      <c r="G550">
        <v>100.0384</v>
      </c>
      <c r="H550" t="s">
        <v>35</v>
      </c>
    </row>
    <row r="551" spans="1:8" x14ac:dyDescent="0.2">
      <c r="A551" t="s">
        <v>640</v>
      </c>
      <c r="B551" t="s">
        <v>30</v>
      </c>
      <c r="C551" t="s">
        <v>31</v>
      </c>
      <c r="D551" t="s">
        <v>32</v>
      </c>
      <c r="E551" t="s">
        <v>33</v>
      </c>
      <c r="F551" t="s">
        <v>584</v>
      </c>
      <c r="G551">
        <v>99.703019999999995</v>
      </c>
      <c r="H551" t="s">
        <v>35</v>
      </c>
    </row>
    <row r="552" spans="1:8" x14ac:dyDescent="0.2">
      <c r="A552" t="s">
        <v>640</v>
      </c>
      <c r="B552" t="s">
        <v>30</v>
      </c>
      <c r="C552" t="s">
        <v>31</v>
      </c>
      <c r="D552" t="s">
        <v>32</v>
      </c>
      <c r="E552" t="s">
        <v>33</v>
      </c>
      <c r="F552" t="s">
        <v>585</v>
      </c>
      <c r="G552">
        <v>100.4892</v>
      </c>
      <c r="H552" t="s">
        <v>35</v>
      </c>
    </row>
    <row r="553" spans="1:8" x14ac:dyDescent="0.2">
      <c r="A553" t="s">
        <v>640</v>
      </c>
      <c r="B553" t="s">
        <v>30</v>
      </c>
      <c r="C553" t="s">
        <v>31</v>
      </c>
      <c r="D553" t="s">
        <v>32</v>
      </c>
      <c r="E553" t="s">
        <v>33</v>
      </c>
      <c r="F553" t="s">
        <v>586</v>
      </c>
      <c r="G553">
        <v>100.5788</v>
      </c>
      <c r="H553" t="s">
        <v>35</v>
      </c>
    </row>
    <row r="554" spans="1:8" x14ac:dyDescent="0.2">
      <c r="A554" t="s">
        <v>640</v>
      </c>
      <c r="B554" t="s">
        <v>30</v>
      </c>
      <c r="C554" t="s">
        <v>31</v>
      </c>
      <c r="D554" t="s">
        <v>32</v>
      </c>
      <c r="E554" t="s">
        <v>33</v>
      </c>
      <c r="F554" t="s">
        <v>587</v>
      </c>
      <c r="G554">
        <v>100.3807</v>
      </c>
      <c r="H554" t="s">
        <v>35</v>
      </c>
    </row>
    <row r="555" spans="1:8" x14ac:dyDescent="0.2">
      <c r="A555" t="s">
        <v>640</v>
      </c>
      <c r="B555" t="s">
        <v>30</v>
      </c>
      <c r="C555" t="s">
        <v>31</v>
      </c>
      <c r="D555" t="s">
        <v>32</v>
      </c>
      <c r="E555" t="s">
        <v>33</v>
      </c>
      <c r="F555" t="s">
        <v>588</v>
      </c>
      <c r="G555">
        <v>100.119</v>
      </c>
      <c r="H555" t="s">
        <v>35</v>
      </c>
    </row>
    <row r="556" spans="1:8" x14ac:dyDescent="0.2">
      <c r="A556" t="s">
        <v>640</v>
      </c>
      <c r="B556" t="s">
        <v>30</v>
      </c>
      <c r="C556" t="s">
        <v>31</v>
      </c>
      <c r="D556" t="s">
        <v>32</v>
      </c>
      <c r="E556" t="s">
        <v>33</v>
      </c>
      <c r="F556" t="s">
        <v>589</v>
      </c>
      <c r="G556">
        <v>99.081019999999995</v>
      </c>
      <c r="H556" t="s">
        <v>35</v>
      </c>
    </row>
    <row r="557" spans="1:8" x14ac:dyDescent="0.2">
      <c r="A557" t="s">
        <v>640</v>
      </c>
      <c r="B557" t="s">
        <v>30</v>
      </c>
      <c r="C557" t="s">
        <v>31</v>
      </c>
      <c r="D557" t="s">
        <v>32</v>
      </c>
      <c r="E557" t="s">
        <v>33</v>
      </c>
      <c r="F557" t="s">
        <v>590</v>
      </c>
      <c r="G557">
        <v>98.637169999999998</v>
      </c>
      <c r="H557" t="s">
        <v>35</v>
      </c>
    </row>
    <row r="558" spans="1:8" x14ac:dyDescent="0.2">
      <c r="A558" t="s">
        <v>640</v>
      </c>
      <c r="B558" t="s">
        <v>30</v>
      </c>
      <c r="C558" t="s">
        <v>31</v>
      </c>
      <c r="D558" t="s">
        <v>32</v>
      </c>
      <c r="E558" t="s">
        <v>33</v>
      </c>
      <c r="F558" t="s">
        <v>591</v>
      </c>
      <c r="G558">
        <v>100.54689999999999</v>
      </c>
      <c r="H558" t="s">
        <v>35</v>
      </c>
    </row>
    <row r="559" spans="1:8" x14ac:dyDescent="0.2">
      <c r="A559" t="s">
        <v>640</v>
      </c>
      <c r="B559" t="s">
        <v>30</v>
      </c>
      <c r="C559" t="s">
        <v>31</v>
      </c>
      <c r="D559" t="s">
        <v>32</v>
      </c>
      <c r="E559" t="s">
        <v>33</v>
      </c>
      <c r="F559" t="s">
        <v>592</v>
      </c>
      <c r="G559">
        <v>100.89919999999999</v>
      </c>
      <c r="H559" t="s">
        <v>35</v>
      </c>
    </row>
    <row r="560" spans="1:8" x14ac:dyDescent="0.2">
      <c r="A560" t="s">
        <v>640</v>
      </c>
      <c r="B560" t="s">
        <v>30</v>
      </c>
      <c r="C560" t="s">
        <v>31</v>
      </c>
      <c r="D560" t="s">
        <v>32</v>
      </c>
      <c r="E560" t="s">
        <v>33</v>
      </c>
      <c r="F560" t="s">
        <v>593</v>
      </c>
      <c r="G560">
        <v>101.1849</v>
      </c>
      <c r="H560" t="s">
        <v>35</v>
      </c>
    </row>
    <row r="561" spans="1:8" x14ac:dyDescent="0.2">
      <c r="A561" t="s">
        <v>640</v>
      </c>
      <c r="B561" t="s">
        <v>30</v>
      </c>
      <c r="C561" t="s">
        <v>31</v>
      </c>
      <c r="D561" t="s">
        <v>32</v>
      </c>
      <c r="E561" t="s">
        <v>33</v>
      </c>
      <c r="F561" t="s">
        <v>594</v>
      </c>
      <c r="G561">
        <v>101.3192</v>
      </c>
      <c r="H561" t="s">
        <v>35</v>
      </c>
    </row>
    <row r="562" spans="1:8" x14ac:dyDescent="0.2">
      <c r="A562" t="s">
        <v>640</v>
      </c>
      <c r="B562" t="s">
        <v>30</v>
      </c>
      <c r="C562" t="s">
        <v>31</v>
      </c>
      <c r="D562" t="s">
        <v>32</v>
      </c>
      <c r="E562" t="s">
        <v>33</v>
      </c>
      <c r="F562" t="s">
        <v>595</v>
      </c>
      <c r="G562">
        <v>100.6494</v>
      </c>
      <c r="H562" t="s">
        <v>35</v>
      </c>
    </row>
    <row r="563" spans="1:8" x14ac:dyDescent="0.2">
      <c r="A563" t="s">
        <v>640</v>
      </c>
      <c r="B563" t="s">
        <v>30</v>
      </c>
      <c r="C563" t="s">
        <v>31</v>
      </c>
      <c r="D563" t="s">
        <v>32</v>
      </c>
      <c r="E563" t="s">
        <v>33</v>
      </c>
      <c r="F563" t="s">
        <v>596</v>
      </c>
      <c r="G563">
        <v>100.42449999999999</v>
      </c>
      <c r="H563" t="s">
        <v>35</v>
      </c>
    </row>
    <row r="564" spans="1:8" x14ac:dyDescent="0.2">
      <c r="A564" t="s">
        <v>640</v>
      </c>
      <c r="B564" t="s">
        <v>30</v>
      </c>
      <c r="C564" t="s">
        <v>31</v>
      </c>
      <c r="D564" t="s">
        <v>32</v>
      </c>
      <c r="E564" t="s">
        <v>33</v>
      </c>
      <c r="F564" t="s">
        <v>597</v>
      </c>
      <c r="G564">
        <v>101.12220000000001</v>
      </c>
      <c r="H564" t="s">
        <v>35</v>
      </c>
    </row>
    <row r="565" spans="1:8" x14ac:dyDescent="0.2">
      <c r="A565" t="s">
        <v>640</v>
      </c>
      <c r="B565" t="s">
        <v>30</v>
      </c>
      <c r="C565" t="s">
        <v>31</v>
      </c>
      <c r="D565" t="s">
        <v>32</v>
      </c>
      <c r="E565" t="s">
        <v>33</v>
      </c>
      <c r="F565" t="s">
        <v>598</v>
      </c>
      <c r="G565">
        <v>101.46850000000001</v>
      </c>
      <c r="H565" t="s">
        <v>35</v>
      </c>
    </row>
    <row r="566" spans="1:8" x14ac:dyDescent="0.2">
      <c r="A566" t="s">
        <v>640</v>
      </c>
      <c r="B566" t="s">
        <v>30</v>
      </c>
      <c r="C566" t="s">
        <v>31</v>
      </c>
      <c r="D566" t="s">
        <v>32</v>
      </c>
      <c r="E566" t="s">
        <v>33</v>
      </c>
      <c r="F566" t="s">
        <v>599</v>
      </c>
      <c r="G566">
        <v>100.958</v>
      </c>
      <c r="H566" t="s">
        <v>35</v>
      </c>
    </row>
    <row r="567" spans="1:8" x14ac:dyDescent="0.2">
      <c r="A567" t="s">
        <v>640</v>
      </c>
      <c r="B567" t="s">
        <v>30</v>
      </c>
      <c r="C567" t="s">
        <v>31</v>
      </c>
      <c r="D567" t="s">
        <v>32</v>
      </c>
      <c r="E567" t="s">
        <v>33</v>
      </c>
      <c r="F567" t="s">
        <v>600</v>
      </c>
      <c r="G567">
        <v>100.9978</v>
      </c>
      <c r="H567" t="s">
        <v>35</v>
      </c>
    </row>
    <row r="568" spans="1:8" x14ac:dyDescent="0.2">
      <c r="A568" t="s">
        <v>640</v>
      </c>
      <c r="B568" t="s">
        <v>30</v>
      </c>
      <c r="C568" t="s">
        <v>31</v>
      </c>
      <c r="D568" t="s">
        <v>32</v>
      </c>
      <c r="E568" t="s">
        <v>33</v>
      </c>
      <c r="F568" t="s">
        <v>601</v>
      </c>
      <c r="G568">
        <v>100.3997</v>
      </c>
      <c r="H568" t="s">
        <v>35</v>
      </c>
    </row>
    <row r="569" spans="1:8" x14ac:dyDescent="0.2">
      <c r="A569" t="s">
        <v>640</v>
      </c>
      <c r="B569" t="s">
        <v>30</v>
      </c>
      <c r="C569" t="s">
        <v>31</v>
      </c>
      <c r="D569" t="s">
        <v>32</v>
      </c>
      <c r="E569" t="s">
        <v>33</v>
      </c>
      <c r="F569" t="s">
        <v>602</v>
      </c>
      <c r="G569">
        <v>100.1688</v>
      </c>
      <c r="H569" t="s">
        <v>35</v>
      </c>
    </row>
    <row r="570" spans="1:8" x14ac:dyDescent="0.2">
      <c r="A570" t="s">
        <v>640</v>
      </c>
      <c r="B570" t="s">
        <v>30</v>
      </c>
      <c r="C570" t="s">
        <v>31</v>
      </c>
      <c r="D570" t="s">
        <v>32</v>
      </c>
      <c r="E570" t="s">
        <v>33</v>
      </c>
      <c r="F570" t="s">
        <v>603</v>
      </c>
      <c r="G570">
        <v>101.9243</v>
      </c>
      <c r="H570" t="s">
        <v>35</v>
      </c>
    </row>
    <row r="571" spans="1:8" x14ac:dyDescent="0.2">
      <c r="A571" t="s">
        <v>640</v>
      </c>
      <c r="B571" t="s">
        <v>30</v>
      </c>
      <c r="C571" t="s">
        <v>31</v>
      </c>
      <c r="D571" t="s">
        <v>32</v>
      </c>
      <c r="E571" t="s">
        <v>33</v>
      </c>
      <c r="F571" t="s">
        <v>604</v>
      </c>
      <c r="G571">
        <v>102.8956</v>
      </c>
      <c r="H571" t="s">
        <v>35</v>
      </c>
    </row>
    <row r="572" spans="1:8" x14ac:dyDescent="0.2">
      <c r="A572" t="s">
        <v>640</v>
      </c>
      <c r="B572" t="s">
        <v>30</v>
      </c>
      <c r="C572" t="s">
        <v>31</v>
      </c>
      <c r="D572" t="s">
        <v>32</v>
      </c>
      <c r="E572" t="s">
        <v>33</v>
      </c>
      <c r="F572" t="s">
        <v>605</v>
      </c>
      <c r="G572">
        <v>102.6528</v>
      </c>
      <c r="H572" t="s">
        <v>35</v>
      </c>
    </row>
    <row r="573" spans="1:8" x14ac:dyDescent="0.2">
      <c r="A573" t="s">
        <v>640</v>
      </c>
      <c r="B573" t="s">
        <v>30</v>
      </c>
      <c r="C573" t="s">
        <v>31</v>
      </c>
      <c r="D573" t="s">
        <v>32</v>
      </c>
      <c r="E573" t="s">
        <v>33</v>
      </c>
      <c r="F573" t="s">
        <v>606</v>
      </c>
      <c r="G573">
        <v>102.2398</v>
      </c>
      <c r="H573" t="s">
        <v>35</v>
      </c>
    </row>
    <row r="574" spans="1:8" x14ac:dyDescent="0.2">
      <c r="A574" t="s">
        <v>640</v>
      </c>
      <c r="B574" t="s">
        <v>30</v>
      </c>
      <c r="C574" t="s">
        <v>31</v>
      </c>
      <c r="D574" t="s">
        <v>32</v>
      </c>
      <c r="E574" t="s">
        <v>33</v>
      </c>
      <c r="F574" t="s">
        <v>607</v>
      </c>
      <c r="G574">
        <v>101.55710000000001</v>
      </c>
      <c r="H574" t="s">
        <v>35</v>
      </c>
    </row>
    <row r="575" spans="1:8" x14ac:dyDescent="0.2">
      <c r="A575" t="s">
        <v>640</v>
      </c>
      <c r="B575" t="s">
        <v>30</v>
      </c>
      <c r="C575" t="s">
        <v>31</v>
      </c>
      <c r="D575" t="s">
        <v>32</v>
      </c>
      <c r="E575" t="s">
        <v>33</v>
      </c>
      <c r="F575" t="s">
        <v>608</v>
      </c>
      <c r="G575">
        <v>101.565</v>
      </c>
      <c r="H575" t="s">
        <v>35</v>
      </c>
    </row>
    <row r="576" spans="1:8" x14ac:dyDescent="0.2">
      <c r="A576" t="s">
        <v>640</v>
      </c>
      <c r="B576" t="s">
        <v>30</v>
      </c>
      <c r="C576" t="s">
        <v>31</v>
      </c>
      <c r="D576" t="s">
        <v>32</v>
      </c>
      <c r="E576" t="s">
        <v>33</v>
      </c>
      <c r="F576" t="s">
        <v>609</v>
      </c>
      <c r="G576">
        <v>102.5274</v>
      </c>
      <c r="H576" t="s">
        <v>35</v>
      </c>
    </row>
    <row r="577" spans="1:8" x14ac:dyDescent="0.2">
      <c r="A577" t="s">
        <v>640</v>
      </c>
      <c r="B577" t="s">
        <v>30</v>
      </c>
      <c r="C577" t="s">
        <v>31</v>
      </c>
      <c r="D577" t="s">
        <v>32</v>
      </c>
      <c r="E577" t="s">
        <v>33</v>
      </c>
      <c r="F577" t="s">
        <v>610</v>
      </c>
      <c r="G577">
        <v>102.8807</v>
      </c>
      <c r="H577" t="s">
        <v>35</v>
      </c>
    </row>
    <row r="578" spans="1:8" x14ac:dyDescent="0.2">
      <c r="A578" t="s">
        <v>640</v>
      </c>
      <c r="B578" t="s">
        <v>30</v>
      </c>
      <c r="C578" t="s">
        <v>31</v>
      </c>
      <c r="D578" t="s">
        <v>32</v>
      </c>
      <c r="E578" t="s">
        <v>33</v>
      </c>
      <c r="F578" t="s">
        <v>611</v>
      </c>
      <c r="G578">
        <v>102.5224</v>
      </c>
      <c r="H578" t="s">
        <v>35</v>
      </c>
    </row>
    <row r="579" spans="1:8" x14ac:dyDescent="0.2">
      <c r="A579" t="s">
        <v>640</v>
      </c>
      <c r="B579" t="s">
        <v>30</v>
      </c>
      <c r="C579" t="s">
        <v>31</v>
      </c>
      <c r="D579" t="s">
        <v>32</v>
      </c>
      <c r="E579" t="s">
        <v>33</v>
      </c>
      <c r="F579" t="s">
        <v>612</v>
      </c>
      <c r="G579">
        <v>102.4786</v>
      </c>
      <c r="H579" t="s">
        <v>35</v>
      </c>
    </row>
    <row r="580" spans="1:8" x14ac:dyDescent="0.2">
      <c r="A580" t="s">
        <v>640</v>
      </c>
      <c r="B580" t="s">
        <v>30</v>
      </c>
      <c r="C580" t="s">
        <v>31</v>
      </c>
      <c r="D580" t="s">
        <v>32</v>
      </c>
      <c r="E580" t="s">
        <v>33</v>
      </c>
      <c r="F580" t="s">
        <v>613</v>
      </c>
      <c r="G580">
        <v>101.43559999999999</v>
      </c>
      <c r="H580" t="s">
        <v>35</v>
      </c>
    </row>
    <row r="581" spans="1:8" x14ac:dyDescent="0.2">
      <c r="A581" t="s">
        <v>640</v>
      </c>
      <c r="B581" t="s">
        <v>30</v>
      </c>
      <c r="C581" t="s">
        <v>31</v>
      </c>
      <c r="D581" t="s">
        <v>32</v>
      </c>
      <c r="E581" t="s">
        <v>33</v>
      </c>
      <c r="F581" t="s">
        <v>614</v>
      </c>
      <c r="G581">
        <v>100.747</v>
      </c>
      <c r="H581" t="s">
        <v>35</v>
      </c>
    </row>
    <row r="582" spans="1:8" x14ac:dyDescent="0.2">
      <c r="A582" t="s">
        <v>640</v>
      </c>
      <c r="B582" t="s">
        <v>30</v>
      </c>
      <c r="C582" t="s">
        <v>31</v>
      </c>
      <c r="D582" t="s">
        <v>32</v>
      </c>
      <c r="E582" t="s">
        <v>33</v>
      </c>
      <c r="F582" t="s">
        <v>615</v>
      </c>
      <c r="G582">
        <v>102.6259</v>
      </c>
      <c r="H582" t="s">
        <v>35</v>
      </c>
    </row>
    <row r="583" spans="1:8" x14ac:dyDescent="0.2">
      <c r="A583" t="s">
        <v>640</v>
      </c>
      <c r="B583" t="s">
        <v>30</v>
      </c>
      <c r="C583" t="s">
        <v>31</v>
      </c>
      <c r="D583" t="s">
        <v>32</v>
      </c>
      <c r="E583" t="s">
        <v>33</v>
      </c>
      <c r="F583" t="s">
        <v>616</v>
      </c>
      <c r="G583">
        <v>103.3036</v>
      </c>
      <c r="H583" t="s">
        <v>35</v>
      </c>
    </row>
    <row r="584" spans="1:8" x14ac:dyDescent="0.2">
      <c r="A584" t="s">
        <v>640</v>
      </c>
      <c r="B584" t="s">
        <v>30</v>
      </c>
      <c r="C584" t="s">
        <v>31</v>
      </c>
      <c r="D584" t="s">
        <v>32</v>
      </c>
      <c r="E584" t="s">
        <v>33</v>
      </c>
      <c r="F584" t="s">
        <v>617</v>
      </c>
      <c r="G584">
        <v>103.7236</v>
      </c>
      <c r="H584" t="s">
        <v>35</v>
      </c>
    </row>
    <row r="585" spans="1:8" x14ac:dyDescent="0.2">
      <c r="A585" t="s">
        <v>640</v>
      </c>
      <c r="B585" t="s">
        <v>30</v>
      </c>
      <c r="C585" t="s">
        <v>31</v>
      </c>
      <c r="D585" t="s">
        <v>32</v>
      </c>
      <c r="E585" t="s">
        <v>33</v>
      </c>
      <c r="F585" t="s">
        <v>618</v>
      </c>
      <c r="G585">
        <v>103.7903</v>
      </c>
      <c r="H585" t="s">
        <v>35</v>
      </c>
    </row>
    <row r="586" spans="1:8" x14ac:dyDescent="0.2">
      <c r="A586" t="s">
        <v>640</v>
      </c>
      <c r="B586" t="s">
        <v>30</v>
      </c>
      <c r="C586" t="s">
        <v>31</v>
      </c>
      <c r="D586" t="s">
        <v>32</v>
      </c>
      <c r="E586" t="s">
        <v>33</v>
      </c>
      <c r="F586" t="s">
        <v>619</v>
      </c>
      <c r="G586">
        <v>103.15730000000001</v>
      </c>
      <c r="H586" t="s">
        <v>35</v>
      </c>
    </row>
    <row r="587" spans="1:8" x14ac:dyDescent="0.2">
      <c r="A587" t="s">
        <v>640</v>
      </c>
      <c r="B587" t="s">
        <v>30</v>
      </c>
      <c r="C587" t="s">
        <v>31</v>
      </c>
      <c r="D587" t="s">
        <v>32</v>
      </c>
      <c r="E587" t="s">
        <v>33</v>
      </c>
      <c r="F587" t="s">
        <v>620</v>
      </c>
      <c r="G587">
        <v>102.801</v>
      </c>
      <c r="H587" t="s">
        <v>35</v>
      </c>
    </row>
    <row r="588" spans="1:8" x14ac:dyDescent="0.2">
      <c r="A588" t="s">
        <v>640</v>
      </c>
      <c r="B588" t="s">
        <v>30</v>
      </c>
      <c r="C588" t="s">
        <v>31</v>
      </c>
      <c r="D588" t="s">
        <v>32</v>
      </c>
      <c r="E588" t="s">
        <v>33</v>
      </c>
      <c r="F588" t="s">
        <v>621</v>
      </c>
      <c r="G588">
        <v>103.96040000000001</v>
      </c>
      <c r="H588" t="s">
        <v>35</v>
      </c>
    </row>
    <row r="589" spans="1:8" x14ac:dyDescent="0.2">
      <c r="A589" t="s">
        <v>640</v>
      </c>
      <c r="B589" t="s">
        <v>30</v>
      </c>
      <c r="C589" t="s">
        <v>31</v>
      </c>
      <c r="D589" t="s">
        <v>32</v>
      </c>
      <c r="E589" t="s">
        <v>33</v>
      </c>
      <c r="F589" t="s">
        <v>622</v>
      </c>
      <c r="G589">
        <v>103.8669</v>
      </c>
      <c r="H589" t="s">
        <v>35</v>
      </c>
    </row>
    <row r="590" spans="1:8" x14ac:dyDescent="0.2">
      <c r="A590" t="s">
        <v>640</v>
      </c>
      <c r="B590" t="s">
        <v>30</v>
      </c>
      <c r="C590" t="s">
        <v>31</v>
      </c>
      <c r="D590" t="s">
        <v>32</v>
      </c>
      <c r="E590" t="s">
        <v>33</v>
      </c>
      <c r="F590" t="s">
        <v>623</v>
      </c>
      <c r="G590">
        <v>103.4021</v>
      </c>
      <c r="H590" t="s">
        <v>35</v>
      </c>
    </row>
    <row r="591" spans="1:8" x14ac:dyDescent="0.2">
      <c r="A591" t="s">
        <v>640</v>
      </c>
      <c r="B591" t="s">
        <v>30</v>
      </c>
      <c r="C591" t="s">
        <v>31</v>
      </c>
      <c r="D591" t="s">
        <v>32</v>
      </c>
      <c r="E591" t="s">
        <v>33</v>
      </c>
      <c r="F591" t="s">
        <v>624</v>
      </c>
      <c r="G591">
        <v>103.1593</v>
      </c>
      <c r="H591" t="s">
        <v>35</v>
      </c>
    </row>
    <row r="592" spans="1:8" x14ac:dyDescent="0.2">
      <c r="A592" t="s">
        <v>640</v>
      </c>
      <c r="B592" t="s">
        <v>30</v>
      </c>
      <c r="C592" t="s">
        <v>31</v>
      </c>
      <c r="D592" t="s">
        <v>32</v>
      </c>
      <c r="E592" t="s">
        <v>33</v>
      </c>
      <c r="F592" t="s">
        <v>625</v>
      </c>
      <c r="G592">
        <v>101.9183</v>
      </c>
      <c r="H592" t="s">
        <v>35</v>
      </c>
    </row>
    <row r="593" spans="1:8" x14ac:dyDescent="0.2">
      <c r="A593" t="s">
        <v>640</v>
      </c>
      <c r="B593" t="s">
        <v>30</v>
      </c>
      <c r="C593" t="s">
        <v>31</v>
      </c>
      <c r="D593" t="s">
        <v>32</v>
      </c>
      <c r="E593" t="s">
        <v>33</v>
      </c>
      <c r="F593" t="s">
        <v>626</v>
      </c>
      <c r="G593">
        <v>101.6934</v>
      </c>
      <c r="H593" t="s">
        <v>35</v>
      </c>
    </row>
    <row r="594" spans="1:8" x14ac:dyDescent="0.2">
      <c r="A594" t="s">
        <v>640</v>
      </c>
      <c r="B594" t="s">
        <v>30</v>
      </c>
      <c r="C594" t="s">
        <v>31</v>
      </c>
      <c r="D594" t="s">
        <v>32</v>
      </c>
      <c r="E594" t="s">
        <v>33</v>
      </c>
      <c r="F594" t="s">
        <v>627</v>
      </c>
      <c r="G594">
        <v>103.49469999999999</v>
      </c>
      <c r="H594" t="s">
        <v>35</v>
      </c>
    </row>
    <row r="595" spans="1:8" x14ac:dyDescent="0.2">
      <c r="A595" t="s">
        <v>640</v>
      </c>
      <c r="B595" t="s">
        <v>30</v>
      </c>
      <c r="C595" t="s">
        <v>31</v>
      </c>
      <c r="D595" t="s">
        <v>32</v>
      </c>
      <c r="E595" t="s">
        <v>33</v>
      </c>
      <c r="F595" t="s">
        <v>628</v>
      </c>
      <c r="G595">
        <v>104.0998</v>
      </c>
      <c r="H595" t="s">
        <v>35</v>
      </c>
    </row>
    <row r="596" spans="1:8" x14ac:dyDescent="0.2">
      <c r="A596" t="s">
        <v>640</v>
      </c>
      <c r="B596" t="s">
        <v>30</v>
      </c>
      <c r="C596" t="s">
        <v>31</v>
      </c>
      <c r="D596" t="s">
        <v>32</v>
      </c>
      <c r="E596" t="s">
        <v>33</v>
      </c>
      <c r="F596" t="s">
        <v>629</v>
      </c>
      <c r="G596">
        <v>104.1605</v>
      </c>
      <c r="H596" t="s">
        <v>35</v>
      </c>
    </row>
    <row r="597" spans="1:8" x14ac:dyDescent="0.2">
      <c r="A597" t="s">
        <v>640</v>
      </c>
      <c r="B597" t="s">
        <v>30</v>
      </c>
      <c r="C597" t="s">
        <v>31</v>
      </c>
      <c r="D597" t="s">
        <v>32</v>
      </c>
      <c r="E597" t="s">
        <v>33</v>
      </c>
      <c r="F597" t="s">
        <v>630</v>
      </c>
      <c r="G597">
        <v>104.1923</v>
      </c>
      <c r="H597" t="s">
        <v>35</v>
      </c>
    </row>
    <row r="598" spans="1:8" x14ac:dyDescent="0.2">
      <c r="A598" t="s">
        <v>640</v>
      </c>
      <c r="B598" t="s">
        <v>30</v>
      </c>
      <c r="C598" t="s">
        <v>31</v>
      </c>
      <c r="D598" t="s">
        <v>32</v>
      </c>
      <c r="E598" t="s">
        <v>33</v>
      </c>
      <c r="F598" t="s">
        <v>631</v>
      </c>
      <c r="G598">
        <v>102.8319</v>
      </c>
      <c r="H598" t="s">
        <v>35</v>
      </c>
    </row>
    <row r="599" spans="1:8" x14ac:dyDescent="0.2">
      <c r="A599" t="s">
        <v>640</v>
      </c>
      <c r="B599" t="s">
        <v>30</v>
      </c>
      <c r="C599" t="s">
        <v>31</v>
      </c>
      <c r="D599" t="s">
        <v>32</v>
      </c>
      <c r="E599" t="s">
        <v>33</v>
      </c>
      <c r="F599" t="s">
        <v>632</v>
      </c>
      <c r="G599">
        <v>102.7135</v>
      </c>
      <c r="H599" t="s">
        <v>35</v>
      </c>
    </row>
    <row r="600" spans="1:8" x14ac:dyDescent="0.2">
      <c r="A600" t="s">
        <v>640</v>
      </c>
      <c r="B600" t="s">
        <v>30</v>
      </c>
      <c r="C600" t="s">
        <v>31</v>
      </c>
      <c r="D600" t="s">
        <v>32</v>
      </c>
      <c r="E600" t="s">
        <v>33</v>
      </c>
      <c r="F600" t="s">
        <v>633</v>
      </c>
      <c r="G600">
        <v>103.84399999999999</v>
      </c>
      <c r="H600" t="s">
        <v>35</v>
      </c>
    </row>
    <row r="601" spans="1:8" x14ac:dyDescent="0.2">
      <c r="A601" t="s">
        <v>640</v>
      </c>
      <c r="B601" t="s">
        <v>30</v>
      </c>
      <c r="C601" t="s">
        <v>31</v>
      </c>
      <c r="D601" t="s">
        <v>32</v>
      </c>
      <c r="E601" t="s">
        <v>33</v>
      </c>
      <c r="F601" t="s">
        <v>634</v>
      </c>
      <c r="G601">
        <v>103.8828</v>
      </c>
      <c r="H601" t="s">
        <v>35</v>
      </c>
    </row>
    <row r="602" spans="1:8" x14ac:dyDescent="0.2">
      <c r="A602" t="s">
        <v>640</v>
      </c>
      <c r="B602" t="s">
        <v>30</v>
      </c>
      <c r="C602" t="s">
        <v>31</v>
      </c>
      <c r="D602" t="s">
        <v>32</v>
      </c>
      <c r="E602" t="s">
        <v>33</v>
      </c>
      <c r="F602" t="s">
        <v>635</v>
      </c>
      <c r="G602">
        <v>103.7296</v>
      </c>
      <c r="H602" t="s">
        <v>35</v>
      </c>
    </row>
    <row r="603" spans="1:8" x14ac:dyDescent="0.2">
      <c r="A603" t="s">
        <v>640</v>
      </c>
      <c r="B603" t="s">
        <v>30</v>
      </c>
      <c r="C603" t="s">
        <v>31</v>
      </c>
      <c r="D603" t="s">
        <v>32</v>
      </c>
      <c r="E603" t="s">
        <v>33</v>
      </c>
      <c r="F603" t="s">
        <v>636</v>
      </c>
      <c r="G603">
        <v>103.59220000000001</v>
      </c>
      <c r="H603" t="s">
        <v>35</v>
      </c>
    </row>
    <row r="604" spans="1:8" x14ac:dyDescent="0.2">
      <c r="A604" t="s">
        <v>640</v>
      </c>
      <c r="B604" t="s">
        <v>30</v>
      </c>
      <c r="C604" t="s">
        <v>31</v>
      </c>
      <c r="D604" t="s">
        <v>32</v>
      </c>
      <c r="E604" t="s">
        <v>33</v>
      </c>
      <c r="F604" t="s">
        <v>637</v>
      </c>
      <c r="G604">
        <v>102.7334</v>
      </c>
      <c r="H604" t="s">
        <v>35</v>
      </c>
    </row>
    <row r="605" spans="1:8" x14ac:dyDescent="0.2">
      <c r="A605" t="s">
        <v>640</v>
      </c>
      <c r="B605" t="s">
        <v>30</v>
      </c>
      <c r="C605" t="s">
        <v>31</v>
      </c>
      <c r="D605" t="s">
        <v>32</v>
      </c>
      <c r="E605" t="s">
        <v>33</v>
      </c>
      <c r="F605" t="s">
        <v>638</v>
      </c>
      <c r="G605">
        <v>102.0795</v>
      </c>
      <c r="H605" t="s">
        <v>35</v>
      </c>
    </row>
    <row r="606" spans="1:8" x14ac:dyDescent="0.2">
      <c r="A606" t="s">
        <v>640</v>
      </c>
      <c r="B606" t="s">
        <v>30</v>
      </c>
      <c r="C606" t="s">
        <v>31</v>
      </c>
      <c r="D606" t="s">
        <v>32</v>
      </c>
      <c r="E606" t="s">
        <v>33</v>
      </c>
      <c r="F606" t="s">
        <v>639</v>
      </c>
      <c r="G606">
        <v>103.54349999999999</v>
      </c>
      <c r="H606" t="s">
        <v>35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C3831-B361-4F3D-AAE5-A26EFF3CD753}">
  <dimension ref="A1:H65"/>
  <sheetViews>
    <sheetView topLeftCell="A12" workbookViewId="0">
      <selection activeCell="I43" sqref="I43"/>
    </sheetView>
  </sheetViews>
  <sheetFormatPr defaultRowHeight="12.75" x14ac:dyDescent="0.2"/>
  <cols>
    <col min="1" max="1" width="12.85546875" bestFit="1" customWidth="1"/>
    <col min="2" max="2" width="13.42578125" bestFit="1" customWidth="1"/>
    <col min="3" max="3" width="11.7109375" bestFit="1" customWidth="1"/>
    <col min="4" max="4" width="12.28515625" bestFit="1" customWidth="1"/>
    <col min="5" max="5" width="14.42578125" bestFit="1" customWidth="1"/>
    <col min="6" max="6" width="7.7109375" bestFit="1" customWidth="1"/>
    <col min="7" max="7" width="18.85546875" bestFit="1" customWidth="1"/>
    <col min="8" max="8" width="13.42578125" bestFit="1" customWidth="1"/>
  </cols>
  <sheetData>
    <row r="1" spans="1:8" x14ac:dyDescent="0.2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</row>
    <row r="2" spans="1:8" x14ac:dyDescent="0.2">
      <c r="A2" t="s">
        <v>640</v>
      </c>
      <c r="B2" t="s">
        <v>30</v>
      </c>
      <c r="C2" t="s">
        <v>31</v>
      </c>
      <c r="D2" t="s">
        <v>32</v>
      </c>
      <c r="E2" t="s">
        <v>1071</v>
      </c>
      <c r="F2" t="s">
        <v>1072</v>
      </c>
      <c r="G2">
        <v>0.99793030000000005</v>
      </c>
      <c r="H2" t="s">
        <v>35</v>
      </c>
    </row>
    <row r="3" spans="1:8" x14ac:dyDescent="0.2">
      <c r="A3" t="s">
        <v>640</v>
      </c>
      <c r="B3" t="s">
        <v>30</v>
      </c>
      <c r="C3" t="s">
        <v>31</v>
      </c>
      <c r="D3" t="s">
        <v>32</v>
      </c>
      <c r="E3" t="s">
        <v>1071</v>
      </c>
      <c r="F3" t="s">
        <v>1073</v>
      </c>
      <c r="G3">
        <v>1.0298590000000001</v>
      </c>
      <c r="H3" t="s">
        <v>35</v>
      </c>
    </row>
    <row r="4" spans="1:8" x14ac:dyDescent="0.2">
      <c r="A4" t="s">
        <v>640</v>
      </c>
      <c r="B4" t="s">
        <v>30</v>
      </c>
      <c r="C4" t="s">
        <v>31</v>
      </c>
      <c r="D4" t="s">
        <v>32</v>
      </c>
      <c r="E4" t="s">
        <v>1071</v>
      </c>
      <c r="F4" t="s">
        <v>1074</v>
      </c>
      <c r="G4">
        <v>1.0445059999999999</v>
      </c>
      <c r="H4" t="s">
        <v>35</v>
      </c>
    </row>
    <row r="5" spans="1:8" x14ac:dyDescent="0.2">
      <c r="A5" t="s">
        <v>640</v>
      </c>
      <c r="B5" t="s">
        <v>30</v>
      </c>
      <c r="C5" t="s">
        <v>31</v>
      </c>
      <c r="D5" t="s">
        <v>32</v>
      </c>
      <c r="E5" t="s">
        <v>1071</v>
      </c>
      <c r="F5" t="s">
        <v>1075</v>
      </c>
      <c r="G5">
        <v>1.0612109999999999</v>
      </c>
      <c r="H5" t="s">
        <v>35</v>
      </c>
    </row>
    <row r="6" spans="1:8" x14ac:dyDescent="0.2">
      <c r="A6" t="s">
        <v>640</v>
      </c>
      <c r="B6" t="s">
        <v>30</v>
      </c>
      <c r="C6" t="s">
        <v>31</v>
      </c>
      <c r="D6" t="s">
        <v>32</v>
      </c>
      <c r="E6" t="s">
        <v>1071</v>
      </c>
      <c r="F6" t="s">
        <v>1076</v>
      </c>
      <c r="G6">
        <v>1.0723199999999999</v>
      </c>
      <c r="H6" t="s">
        <v>35</v>
      </c>
    </row>
    <row r="7" spans="1:8" x14ac:dyDescent="0.2">
      <c r="A7" t="s">
        <v>640</v>
      </c>
      <c r="B7" t="s">
        <v>30</v>
      </c>
      <c r="C7" t="s">
        <v>31</v>
      </c>
      <c r="D7" t="s">
        <v>32</v>
      </c>
      <c r="E7" t="s">
        <v>1071</v>
      </c>
      <c r="F7" t="s">
        <v>1077</v>
      </c>
      <c r="G7">
        <v>1.1049899999999999</v>
      </c>
      <c r="H7" t="s">
        <v>35</v>
      </c>
    </row>
    <row r="8" spans="1:8" x14ac:dyDescent="0.2">
      <c r="A8" t="s">
        <v>640</v>
      </c>
      <c r="B8" t="s">
        <v>30</v>
      </c>
      <c r="C8" t="s">
        <v>31</v>
      </c>
      <c r="D8" t="s">
        <v>32</v>
      </c>
      <c r="E8" t="s">
        <v>1071</v>
      </c>
      <c r="F8" t="s">
        <v>1078</v>
      </c>
      <c r="G8">
        <v>1.122106</v>
      </c>
      <c r="H8" t="s">
        <v>35</v>
      </c>
    </row>
    <row r="9" spans="1:8" x14ac:dyDescent="0.2">
      <c r="A9" t="s">
        <v>640</v>
      </c>
      <c r="B9" t="s">
        <v>30</v>
      </c>
      <c r="C9" t="s">
        <v>31</v>
      </c>
      <c r="D9" t="s">
        <v>32</v>
      </c>
      <c r="E9" t="s">
        <v>1071</v>
      </c>
      <c r="F9" t="s">
        <v>1079</v>
      </c>
      <c r="G9">
        <v>1.151977</v>
      </c>
      <c r="H9" t="s">
        <v>35</v>
      </c>
    </row>
    <row r="10" spans="1:8" x14ac:dyDescent="0.2">
      <c r="A10" t="s">
        <v>640</v>
      </c>
      <c r="B10" t="s">
        <v>30</v>
      </c>
      <c r="C10" t="s">
        <v>31</v>
      </c>
      <c r="D10" t="s">
        <v>32</v>
      </c>
      <c r="E10" t="s">
        <v>1071</v>
      </c>
      <c r="F10" t="s">
        <v>1080</v>
      </c>
      <c r="G10">
        <v>1.175265</v>
      </c>
      <c r="H10" t="s">
        <v>35</v>
      </c>
    </row>
    <row r="11" spans="1:8" x14ac:dyDescent="0.2">
      <c r="A11" t="s">
        <v>640</v>
      </c>
      <c r="B11" t="s">
        <v>30</v>
      </c>
      <c r="C11" t="s">
        <v>31</v>
      </c>
      <c r="D11" t="s">
        <v>32</v>
      </c>
      <c r="E11" t="s">
        <v>1071</v>
      </c>
      <c r="F11" t="s">
        <v>1081</v>
      </c>
      <c r="G11">
        <v>1.2157519999999999</v>
      </c>
      <c r="H11" t="s">
        <v>35</v>
      </c>
    </row>
    <row r="12" spans="1:8" x14ac:dyDescent="0.2">
      <c r="A12" t="s">
        <v>640</v>
      </c>
      <c r="B12" t="s">
        <v>30</v>
      </c>
      <c r="C12" t="s">
        <v>31</v>
      </c>
      <c r="D12" t="s">
        <v>32</v>
      </c>
      <c r="E12" t="s">
        <v>1071</v>
      </c>
      <c r="F12" t="s">
        <v>1082</v>
      </c>
      <c r="G12">
        <v>1.2573909999999999</v>
      </c>
      <c r="H12" t="s">
        <v>35</v>
      </c>
    </row>
    <row r="13" spans="1:8" x14ac:dyDescent="0.2">
      <c r="A13" t="s">
        <v>640</v>
      </c>
      <c r="B13" t="s">
        <v>30</v>
      </c>
      <c r="C13" t="s">
        <v>31</v>
      </c>
      <c r="D13" t="s">
        <v>32</v>
      </c>
      <c r="E13" t="s">
        <v>1071</v>
      </c>
      <c r="F13" t="s">
        <v>1083</v>
      </c>
      <c r="G13">
        <v>1.320754</v>
      </c>
      <c r="H13" t="s">
        <v>35</v>
      </c>
    </row>
    <row r="14" spans="1:8" x14ac:dyDescent="0.2">
      <c r="A14" t="s">
        <v>640</v>
      </c>
      <c r="B14" t="s">
        <v>30</v>
      </c>
      <c r="C14" t="s">
        <v>31</v>
      </c>
      <c r="D14" t="s">
        <v>32</v>
      </c>
      <c r="E14" t="s">
        <v>1071</v>
      </c>
      <c r="F14" t="s">
        <v>1084</v>
      </c>
      <c r="G14">
        <v>1.393745</v>
      </c>
      <c r="H14" t="s">
        <v>35</v>
      </c>
    </row>
    <row r="15" spans="1:8" x14ac:dyDescent="0.2">
      <c r="A15" t="s">
        <v>640</v>
      </c>
      <c r="B15" t="s">
        <v>30</v>
      </c>
      <c r="C15" t="s">
        <v>31</v>
      </c>
      <c r="D15" t="s">
        <v>32</v>
      </c>
      <c r="E15" t="s">
        <v>1071</v>
      </c>
      <c r="F15" t="s">
        <v>1085</v>
      </c>
      <c r="G15">
        <v>1.478504</v>
      </c>
      <c r="H15" t="s">
        <v>35</v>
      </c>
    </row>
    <row r="16" spans="1:8" x14ac:dyDescent="0.2">
      <c r="A16" t="s">
        <v>640</v>
      </c>
      <c r="B16" t="s">
        <v>30</v>
      </c>
      <c r="C16" t="s">
        <v>31</v>
      </c>
      <c r="D16" t="s">
        <v>32</v>
      </c>
      <c r="E16" t="s">
        <v>1071</v>
      </c>
      <c r="F16" t="s">
        <v>1086</v>
      </c>
      <c r="G16">
        <v>1.608357</v>
      </c>
      <c r="H16" t="s">
        <v>35</v>
      </c>
    </row>
    <row r="17" spans="1:8" x14ac:dyDescent="0.2">
      <c r="A17" t="s">
        <v>640</v>
      </c>
      <c r="B17" t="s">
        <v>30</v>
      </c>
      <c r="C17" t="s">
        <v>31</v>
      </c>
      <c r="D17" t="s">
        <v>32</v>
      </c>
      <c r="E17" t="s">
        <v>1071</v>
      </c>
      <c r="F17" t="s">
        <v>1087</v>
      </c>
      <c r="G17">
        <v>1.7109730000000001</v>
      </c>
      <c r="H17" t="s">
        <v>35</v>
      </c>
    </row>
    <row r="18" spans="1:8" x14ac:dyDescent="0.2">
      <c r="A18" t="s">
        <v>640</v>
      </c>
      <c r="B18" t="s">
        <v>30</v>
      </c>
      <c r="C18" t="s">
        <v>31</v>
      </c>
      <c r="D18" t="s">
        <v>32</v>
      </c>
      <c r="E18" t="s">
        <v>1071</v>
      </c>
      <c r="F18" t="s">
        <v>1088</v>
      </c>
      <c r="G18">
        <v>1.915381</v>
      </c>
      <c r="H18" t="s">
        <v>35</v>
      </c>
    </row>
    <row r="19" spans="1:8" x14ac:dyDescent="0.2">
      <c r="A19" t="s">
        <v>640</v>
      </c>
      <c r="B19" t="s">
        <v>30</v>
      </c>
      <c r="C19" t="s">
        <v>31</v>
      </c>
      <c r="D19" t="s">
        <v>32</v>
      </c>
      <c r="E19" t="s">
        <v>1071</v>
      </c>
      <c r="F19" t="s">
        <v>1089</v>
      </c>
      <c r="G19">
        <v>2.1196250000000001</v>
      </c>
      <c r="H19" t="s">
        <v>35</v>
      </c>
    </row>
    <row r="20" spans="1:8" x14ac:dyDescent="0.2">
      <c r="A20" t="s">
        <v>640</v>
      </c>
      <c r="B20" t="s">
        <v>30</v>
      </c>
      <c r="C20" t="s">
        <v>31</v>
      </c>
      <c r="D20" t="s">
        <v>32</v>
      </c>
      <c r="E20" t="s">
        <v>1071</v>
      </c>
      <c r="F20" t="s">
        <v>1090</v>
      </c>
      <c r="G20">
        <v>2.394638</v>
      </c>
      <c r="H20" t="s">
        <v>35</v>
      </c>
    </row>
    <row r="21" spans="1:8" x14ac:dyDescent="0.2">
      <c r="A21" t="s">
        <v>640</v>
      </c>
      <c r="B21" t="s">
        <v>30</v>
      </c>
      <c r="C21" t="s">
        <v>31</v>
      </c>
      <c r="D21" t="s">
        <v>32</v>
      </c>
      <c r="E21" t="s">
        <v>1071</v>
      </c>
      <c r="F21" t="s">
        <v>1091</v>
      </c>
      <c r="G21">
        <v>2.9952800000000002</v>
      </c>
      <c r="H21" t="s">
        <v>35</v>
      </c>
    </row>
    <row r="22" spans="1:8" x14ac:dyDescent="0.2">
      <c r="A22" t="s">
        <v>640</v>
      </c>
      <c r="B22" t="s">
        <v>30</v>
      </c>
      <c r="C22" t="s">
        <v>31</v>
      </c>
      <c r="D22" t="s">
        <v>32</v>
      </c>
      <c r="E22" t="s">
        <v>1071</v>
      </c>
      <c r="F22" t="s">
        <v>1092</v>
      </c>
      <c r="G22">
        <v>3.4527100000000002</v>
      </c>
      <c r="H22" t="s">
        <v>35</v>
      </c>
    </row>
    <row r="23" spans="1:8" x14ac:dyDescent="0.2">
      <c r="A23" t="s">
        <v>640</v>
      </c>
      <c r="B23" t="s">
        <v>30</v>
      </c>
      <c r="C23" t="s">
        <v>31</v>
      </c>
      <c r="D23" t="s">
        <v>32</v>
      </c>
      <c r="E23" t="s">
        <v>1071</v>
      </c>
      <c r="F23" t="s">
        <v>1093</v>
      </c>
      <c r="G23">
        <v>4.1826780000000001</v>
      </c>
      <c r="H23" t="s">
        <v>35</v>
      </c>
    </row>
    <row r="24" spans="1:8" x14ac:dyDescent="0.2">
      <c r="A24" t="s">
        <v>640</v>
      </c>
      <c r="B24" t="s">
        <v>30</v>
      </c>
      <c r="C24" t="s">
        <v>31</v>
      </c>
      <c r="D24" t="s">
        <v>32</v>
      </c>
      <c r="E24" t="s">
        <v>1071</v>
      </c>
      <c r="F24" t="s">
        <v>1094</v>
      </c>
      <c r="G24">
        <v>5.4800089999999999</v>
      </c>
      <c r="H24" t="s">
        <v>35</v>
      </c>
    </row>
    <row r="25" spans="1:8" x14ac:dyDescent="0.2">
      <c r="A25" t="s">
        <v>640</v>
      </c>
      <c r="B25" t="s">
        <v>30</v>
      </c>
      <c r="C25" t="s">
        <v>31</v>
      </c>
      <c r="D25" t="s">
        <v>32</v>
      </c>
      <c r="E25" t="s">
        <v>1071</v>
      </c>
      <c r="F25" t="s">
        <v>1095</v>
      </c>
      <c r="G25">
        <v>6.6329349999999998</v>
      </c>
      <c r="H25" t="s">
        <v>35</v>
      </c>
    </row>
    <row r="26" spans="1:8" x14ac:dyDescent="0.2">
      <c r="A26" t="s">
        <v>640</v>
      </c>
      <c r="B26" t="s">
        <v>30</v>
      </c>
      <c r="C26" t="s">
        <v>31</v>
      </c>
      <c r="D26" t="s">
        <v>32</v>
      </c>
      <c r="E26" t="s">
        <v>1071</v>
      </c>
      <c r="F26" t="s">
        <v>1096</v>
      </c>
      <c r="G26">
        <v>8.0854970000000002</v>
      </c>
      <c r="H26" t="s">
        <v>35</v>
      </c>
    </row>
    <row r="27" spans="1:8" x14ac:dyDescent="0.2">
      <c r="A27" t="s">
        <v>640</v>
      </c>
      <c r="B27" t="s">
        <v>30</v>
      </c>
      <c r="C27" t="s">
        <v>31</v>
      </c>
      <c r="D27" t="s">
        <v>32</v>
      </c>
      <c r="E27" t="s">
        <v>1071</v>
      </c>
      <c r="F27" t="s">
        <v>1097</v>
      </c>
      <c r="G27">
        <v>9.3684619999999992</v>
      </c>
      <c r="H27" t="s">
        <v>35</v>
      </c>
    </row>
    <row r="28" spans="1:8" x14ac:dyDescent="0.2">
      <c r="A28" t="s">
        <v>640</v>
      </c>
      <c r="B28" t="s">
        <v>30</v>
      </c>
      <c r="C28" t="s">
        <v>31</v>
      </c>
      <c r="D28" t="s">
        <v>32</v>
      </c>
      <c r="E28" t="s">
        <v>1071</v>
      </c>
      <c r="F28" t="s">
        <v>1098</v>
      </c>
      <c r="G28">
        <v>11.15226</v>
      </c>
      <c r="H28" t="s">
        <v>35</v>
      </c>
    </row>
    <row r="29" spans="1:8" x14ac:dyDescent="0.2">
      <c r="A29" t="s">
        <v>640</v>
      </c>
      <c r="B29" t="s">
        <v>30</v>
      </c>
      <c r="C29" t="s">
        <v>31</v>
      </c>
      <c r="D29" t="s">
        <v>32</v>
      </c>
      <c r="E29" t="s">
        <v>1071</v>
      </c>
      <c r="F29" t="s">
        <v>1099</v>
      </c>
      <c r="G29">
        <v>13.569979999999999</v>
      </c>
      <c r="H29" t="s">
        <v>35</v>
      </c>
    </row>
    <row r="30" spans="1:8" x14ac:dyDescent="0.2">
      <c r="A30" t="s">
        <v>640</v>
      </c>
      <c r="B30" t="s">
        <v>30</v>
      </c>
      <c r="C30" t="s">
        <v>31</v>
      </c>
      <c r="D30" t="s">
        <v>32</v>
      </c>
      <c r="E30" t="s">
        <v>1071</v>
      </c>
      <c r="F30" t="s">
        <v>1100</v>
      </c>
      <c r="G30">
        <v>16.82715</v>
      </c>
      <c r="H30" t="s">
        <v>35</v>
      </c>
    </row>
    <row r="31" spans="1:8" x14ac:dyDescent="0.2">
      <c r="A31" t="s">
        <v>640</v>
      </c>
      <c r="B31" t="s">
        <v>30</v>
      </c>
      <c r="C31" t="s">
        <v>31</v>
      </c>
      <c r="D31" t="s">
        <v>32</v>
      </c>
      <c r="E31" t="s">
        <v>1071</v>
      </c>
      <c r="F31" t="s">
        <v>1101</v>
      </c>
      <c r="G31">
        <v>21.603480000000001</v>
      </c>
      <c r="H31" t="s">
        <v>35</v>
      </c>
    </row>
    <row r="32" spans="1:8" x14ac:dyDescent="0.2">
      <c r="A32" t="s">
        <v>640</v>
      </c>
      <c r="B32" t="s">
        <v>30</v>
      </c>
      <c r="C32" t="s">
        <v>31</v>
      </c>
      <c r="D32" t="s">
        <v>32</v>
      </c>
      <c r="E32" t="s">
        <v>1071</v>
      </c>
      <c r="F32" t="s">
        <v>1102</v>
      </c>
      <c r="G32">
        <v>25.80782</v>
      </c>
      <c r="H32" t="s">
        <v>35</v>
      </c>
    </row>
    <row r="33" spans="1:8" x14ac:dyDescent="0.2">
      <c r="A33" t="s">
        <v>640</v>
      </c>
      <c r="B33" t="s">
        <v>30</v>
      </c>
      <c r="C33" t="s">
        <v>31</v>
      </c>
      <c r="D33" t="s">
        <v>32</v>
      </c>
      <c r="E33" t="s">
        <v>1071</v>
      </c>
      <c r="F33" t="s">
        <v>1103</v>
      </c>
      <c r="G33">
        <v>28.990269999999999</v>
      </c>
      <c r="H33" t="s">
        <v>35</v>
      </c>
    </row>
    <row r="34" spans="1:8" x14ac:dyDescent="0.2">
      <c r="A34" t="s">
        <v>640</v>
      </c>
      <c r="B34" t="s">
        <v>30</v>
      </c>
      <c r="C34" t="s">
        <v>31</v>
      </c>
      <c r="D34" t="s">
        <v>32</v>
      </c>
      <c r="E34" t="s">
        <v>1071</v>
      </c>
      <c r="F34" t="s">
        <v>1104</v>
      </c>
      <c r="G34">
        <v>31.783439999999999</v>
      </c>
      <c r="H34" t="s">
        <v>35</v>
      </c>
    </row>
    <row r="35" spans="1:8" x14ac:dyDescent="0.2">
      <c r="A35" t="s">
        <v>640</v>
      </c>
      <c r="B35" t="s">
        <v>30</v>
      </c>
      <c r="C35" t="s">
        <v>31</v>
      </c>
      <c r="D35" t="s">
        <v>32</v>
      </c>
      <c r="E35" t="s">
        <v>1071</v>
      </c>
      <c r="F35" t="s">
        <v>1105</v>
      </c>
      <c r="G35">
        <v>34.994079999999997</v>
      </c>
      <c r="H35" t="s">
        <v>35</v>
      </c>
    </row>
    <row r="36" spans="1:8" x14ac:dyDescent="0.2">
      <c r="A36" t="s">
        <v>640</v>
      </c>
      <c r="B36" t="s">
        <v>30</v>
      </c>
      <c r="C36" t="s">
        <v>31</v>
      </c>
      <c r="D36" t="s">
        <v>32</v>
      </c>
      <c r="E36" t="s">
        <v>1071</v>
      </c>
      <c r="F36" t="s">
        <v>1106</v>
      </c>
      <c r="G36">
        <v>39.433540000000001</v>
      </c>
      <c r="H36" t="s">
        <v>35</v>
      </c>
    </row>
    <row r="37" spans="1:8" x14ac:dyDescent="0.2">
      <c r="A37" t="s">
        <v>640</v>
      </c>
      <c r="B37" t="s">
        <v>30</v>
      </c>
      <c r="C37" t="s">
        <v>31</v>
      </c>
      <c r="D37" t="s">
        <v>32</v>
      </c>
      <c r="E37" t="s">
        <v>1071</v>
      </c>
      <c r="F37" t="s">
        <v>1107</v>
      </c>
      <c r="G37">
        <v>44.80856</v>
      </c>
      <c r="H37" t="s">
        <v>35</v>
      </c>
    </row>
    <row r="38" spans="1:8" x14ac:dyDescent="0.2">
      <c r="A38" t="s">
        <v>640</v>
      </c>
      <c r="B38" t="s">
        <v>30</v>
      </c>
      <c r="C38" t="s">
        <v>31</v>
      </c>
      <c r="D38" t="s">
        <v>32</v>
      </c>
      <c r="E38" t="s">
        <v>1071</v>
      </c>
      <c r="F38" t="s">
        <v>1108</v>
      </c>
      <c r="G38">
        <v>50.118139999999997</v>
      </c>
      <c r="H38" t="s">
        <v>35</v>
      </c>
    </row>
    <row r="39" spans="1:8" x14ac:dyDescent="0.2">
      <c r="A39" t="s">
        <v>640</v>
      </c>
      <c r="B39" t="s">
        <v>30</v>
      </c>
      <c r="C39" t="s">
        <v>31</v>
      </c>
      <c r="D39" t="s">
        <v>32</v>
      </c>
      <c r="E39" t="s">
        <v>1071</v>
      </c>
      <c r="F39" t="s">
        <v>1109</v>
      </c>
      <c r="G39">
        <v>54.909059999999997</v>
      </c>
      <c r="H39" t="s">
        <v>35</v>
      </c>
    </row>
    <row r="40" spans="1:8" x14ac:dyDescent="0.2">
      <c r="A40" t="s">
        <v>640</v>
      </c>
      <c r="B40" t="s">
        <v>30</v>
      </c>
      <c r="C40" t="s">
        <v>31</v>
      </c>
      <c r="D40" t="s">
        <v>32</v>
      </c>
      <c r="E40" t="s">
        <v>1071</v>
      </c>
      <c r="F40" t="s">
        <v>1110</v>
      </c>
      <c r="G40">
        <v>58.633969999999998</v>
      </c>
      <c r="H40" t="s">
        <v>35</v>
      </c>
    </row>
    <row r="41" spans="1:8" x14ac:dyDescent="0.2">
      <c r="A41" t="s">
        <v>640</v>
      </c>
      <c r="B41" t="s">
        <v>30</v>
      </c>
      <c r="C41" t="s">
        <v>31</v>
      </c>
      <c r="D41" t="s">
        <v>32</v>
      </c>
      <c r="E41" t="s">
        <v>1071</v>
      </c>
      <c r="F41" t="s">
        <v>1111</v>
      </c>
      <c r="G41">
        <v>61.812190000000001</v>
      </c>
      <c r="H41" t="s">
        <v>35</v>
      </c>
    </row>
    <row r="42" spans="1:8" x14ac:dyDescent="0.2">
      <c r="A42" t="s">
        <v>640</v>
      </c>
      <c r="B42" t="s">
        <v>30</v>
      </c>
      <c r="C42" t="s">
        <v>31</v>
      </c>
      <c r="D42" t="s">
        <v>32</v>
      </c>
      <c r="E42" t="s">
        <v>1071</v>
      </c>
      <c r="F42" t="s">
        <v>1112</v>
      </c>
      <c r="G42">
        <v>64.422399999999996</v>
      </c>
      <c r="H42" t="s">
        <v>35</v>
      </c>
    </row>
    <row r="43" spans="1:8" x14ac:dyDescent="0.2">
      <c r="A43" t="s">
        <v>640</v>
      </c>
      <c r="B43" t="s">
        <v>30</v>
      </c>
      <c r="C43" t="s">
        <v>31</v>
      </c>
      <c r="D43" t="s">
        <v>32</v>
      </c>
      <c r="E43" t="s">
        <v>1071</v>
      </c>
      <c r="F43" t="s">
        <v>1113</v>
      </c>
      <c r="G43">
        <v>66.399510000000006</v>
      </c>
      <c r="H43" t="s">
        <v>35</v>
      </c>
    </row>
    <row r="44" spans="1:8" x14ac:dyDescent="0.2">
      <c r="A44" t="s">
        <v>640</v>
      </c>
      <c r="B44" t="s">
        <v>30</v>
      </c>
      <c r="C44" t="s">
        <v>31</v>
      </c>
      <c r="D44" t="s">
        <v>32</v>
      </c>
      <c r="E44" t="s">
        <v>1071</v>
      </c>
      <c r="F44" t="s">
        <v>1114</v>
      </c>
      <c r="G44">
        <v>67.951179999999994</v>
      </c>
      <c r="H44" t="s">
        <v>35</v>
      </c>
    </row>
    <row r="45" spans="1:8" x14ac:dyDescent="0.2">
      <c r="A45" t="s">
        <v>640</v>
      </c>
      <c r="B45" t="s">
        <v>30</v>
      </c>
      <c r="C45" t="s">
        <v>31</v>
      </c>
      <c r="D45" t="s">
        <v>32</v>
      </c>
      <c r="E45" t="s">
        <v>1071</v>
      </c>
      <c r="F45" t="s">
        <v>1115</v>
      </c>
      <c r="G45">
        <v>69.699389999999994</v>
      </c>
      <c r="H45" t="s">
        <v>35</v>
      </c>
    </row>
    <row r="46" spans="1:8" x14ac:dyDescent="0.2">
      <c r="A46" t="s">
        <v>640</v>
      </c>
      <c r="B46" t="s">
        <v>30</v>
      </c>
      <c r="C46" t="s">
        <v>31</v>
      </c>
      <c r="D46" t="s">
        <v>32</v>
      </c>
      <c r="E46" t="s">
        <v>1071</v>
      </c>
      <c r="F46" t="s">
        <v>1116</v>
      </c>
      <c r="G46">
        <v>71.330430000000007</v>
      </c>
      <c r="H46" t="s">
        <v>35</v>
      </c>
    </row>
    <row r="47" spans="1:8" x14ac:dyDescent="0.2">
      <c r="A47" t="s">
        <v>640</v>
      </c>
      <c r="B47" t="s">
        <v>30</v>
      </c>
      <c r="C47" t="s">
        <v>31</v>
      </c>
      <c r="D47" t="s">
        <v>32</v>
      </c>
      <c r="E47" t="s">
        <v>1071</v>
      </c>
      <c r="F47" t="s">
        <v>1117</v>
      </c>
      <c r="G47">
        <v>73.36551</v>
      </c>
      <c r="H47" t="s">
        <v>35</v>
      </c>
    </row>
    <row r="48" spans="1:8" x14ac:dyDescent="0.2">
      <c r="A48" t="s">
        <v>640</v>
      </c>
      <c r="B48" t="s">
        <v>30</v>
      </c>
      <c r="C48" t="s">
        <v>31</v>
      </c>
      <c r="D48" t="s">
        <v>32</v>
      </c>
      <c r="E48" t="s">
        <v>1071</v>
      </c>
      <c r="F48" t="s">
        <v>1118</v>
      </c>
      <c r="G48">
        <v>76.571510000000004</v>
      </c>
      <c r="H48" t="s">
        <v>35</v>
      </c>
    </row>
    <row r="49" spans="1:8" x14ac:dyDescent="0.2">
      <c r="A49" t="s">
        <v>640</v>
      </c>
      <c r="B49" t="s">
        <v>30</v>
      </c>
      <c r="C49" t="s">
        <v>31</v>
      </c>
      <c r="D49" t="s">
        <v>32</v>
      </c>
      <c r="E49" t="s">
        <v>1071</v>
      </c>
      <c r="F49" t="s">
        <v>1119</v>
      </c>
      <c r="G49">
        <v>79.32835</v>
      </c>
      <c r="H49" t="s">
        <v>35</v>
      </c>
    </row>
    <row r="50" spans="1:8" x14ac:dyDescent="0.2">
      <c r="A50" t="s">
        <v>640</v>
      </c>
      <c r="B50" t="s">
        <v>30</v>
      </c>
      <c r="C50" t="s">
        <v>31</v>
      </c>
      <c r="D50" t="s">
        <v>32</v>
      </c>
      <c r="E50" t="s">
        <v>1071</v>
      </c>
      <c r="F50" t="s">
        <v>1120</v>
      </c>
      <c r="G50">
        <v>81.881919999999994</v>
      </c>
      <c r="H50" t="s">
        <v>35</v>
      </c>
    </row>
    <row r="51" spans="1:8" x14ac:dyDescent="0.2">
      <c r="A51" t="s">
        <v>640</v>
      </c>
      <c r="B51" t="s">
        <v>30</v>
      </c>
      <c r="C51" t="s">
        <v>31</v>
      </c>
      <c r="D51" t="s">
        <v>32</v>
      </c>
      <c r="E51" t="s">
        <v>1071</v>
      </c>
      <c r="F51" t="s">
        <v>1121</v>
      </c>
      <c r="G51">
        <v>83.818730000000002</v>
      </c>
      <c r="H51" t="s">
        <v>35</v>
      </c>
    </row>
    <row r="52" spans="1:8" x14ac:dyDescent="0.2">
      <c r="A52" t="s">
        <v>640</v>
      </c>
      <c r="B52" t="s">
        <v>30</v>
      </c>
      <c r="C52" t="s">
        <v>31</v>
      </c>
      <c r="D52" t="s">
        <v>32</v>
      </c>
      <c r="E52" t="s">
        <v>1071</v>
      </c>
      <c r="F52" t="s">
        <v>1122</v>
      </c>
      <c r="G52">
        <v>85.727410000000006</v>
      </c>
      <c r="H52" t="s">
        <v>35</v>
      </c>
    </row>
    <row r="53" spans="1:8" x14ac:dyDescent="0.2">
      <c r="A53" t="s">
        <v>640</v>
      </c>
      <c r="B53" t="s">
        <v>30</v>
      </c>
      <c r="C53" t="s">
        <v>31</v>
      </c>
      <c r="D53" t="s">
        <v>32</v>
      </c>
      <c r="E53" t="s">
        <v>1071</v>
      </c>
      <c r="F53" t="s">
        <v>1123</v>
      </c>
      <c r="G53">
        <v>88.391530000000003</v>
      </c>
      <c r="H53" t="s">
        <v>35</v>
      </c>
    </row>
    <row r="54" spans="1:8" x14ac:dyDescent="0.2">
      <c r="A54" t="s">
        <v>640</v>
      </c>
      <c r="B54" t="s">
        <v>30</v>
      </c>
      <c r="C54" t="s">
        <v>31</v>
      </c>
      <c r="D54" t="s">
        <v>32</v>
      </c>
      <c r="E54" t="s">
        <v>1071</v>
      </c>
      <c r="F54" t="s">
        <v>1124</v>
      </c>
      <c r="G54">
        <v>90.560630000000003</v>
      </c>
      <c r="H54" t="s">
        <v>35</v>
      </c>
    </row>
    <row r="55" spans="1:8" x14ac:dyDescent="0.2">
      <c r="A55" t="s">
        <v>640</v>
      </c>
      <c r="B55" t="s">
        <v>30</v>
      </c>
      <c r="C55" t="s">
        <v>31</v>
      </c>
      <c r="D55" t="s">
        <v>32</v>
      </c>
      <c r="E55" t="s">
        <v>1071</v>
      </c>
      <c r="F55" t="s">
        <v>1125</v>
      </c>
      <c r="G55">
        <v>92.904799999999994</v>
      </c>
    </row>
    <row r="56" spans="1:8" x14ac:dyDescent="0.2">
      <c r="A56" t="s">
        <v>640</v>
      </c>
      <c r="B56" t="s">
        <v>30</v>
      </c>
      <c r="C56" t="s">
        <v>31</v>
      </c>
      <c r="D56" t="s">
        <v>32</v>
      </c>
      <c r="E56" t="s">
        <v>1071</v>
      </c>
      <c r="F56" t="s">
        <v>1126</v>
      </c>
      <c r="G56">
        <v>92.128559999999993</v>
      </c>
      <c r="H56" t="s">
        <v>35</v>
      </c>
    </row>
    <row r="57" spans="1:8" x14ac:dyDescent="0.2">
      <c r="A57" t="s">
        <v>640</v>
      </c>
      <c r="B57" t="s">
        <v>30</v>
      </c>
      <c r="C57" t="s">
        <v>31</v>
      </c>
      <c r="D57" t="s">
        <v>32</v>
      </c>
      <c r="E57" t="s">
        <v>1071</v>
      </c>
      <c r="F57" t="s">
        <v>1127</v>
      </c>
      <c r="G57">
        <v>93.420720000000003</v>
      </c>
      <c r="H57" t="s">
        <v>35</v>
      </c>
    </row>
    <row r="58" spans="1:8" x14ac:dyDescent="0.2">
      <c r="A58" t="s">
        <v>640</v>
      </c>
      <c r="B58" t="s">
        <v>30</v>
      </c>
      <c r="C58" t="s">
        <v>31</v>
      </c>
      <c r="D58" t="s">
        <v>32</v>
      </c>
      <c r="E58" t="s">
        <v>1071</v>
      </c>
      <c r="F58" t="s">
        <v>1128</v>
      </c>
      <c r="G58">
        <v>96.833389999999994</v>
      </c>
      <c r="H58" t="s">
        <v>35</v>
      </c>
    </row>
    <row r="59" spans="1:8" x14ac:dyDescent="0.2">
      <c r="A59" t="s">
        <v>640</v>
      </c>
      <c r="B59" t="s">
        <v>30</v>
      </c>
      <c r="C59" t="s">
        <v>31</v>
      </c>
      <c r="D59" t="s">
        <v>32</v>
      </c>
      <c r="E59" t="s">
        <v>1071</v>
      </c>
      <c r="F59" t="s">
        <v>1129</v>
      </c>
      <c r="G59">
        <v>99.518910000000005</v>
      </c>
      <c r="H59" t="s">
        <v>35</v>
      </c>
    </row>
    <row r="60" spans="1:8" x14ac:dyDescent="0.2">
      <c r="A60" t="s">
        <v>640</v>
      </c>
      <c r="B60" t="s">
        <v>30</v>
      </c>
      <c r="C60" t="s">
        <v>31</v>
      </c>
      <c r="D60" t="s">
        <v>32</v>
      </c>
      <c r="E60" t="s">
        <v>1071</v>
      </c>
      <c r="F60" t="s">
        <v>1130</v>
      </c>
      <c r="G60">
        <v>99.792010000000005</v>
      </c>
      <c r="H60" t="s">
        <v>35</v>
      </c>
    </row>
    <row r="61" spans="1:8" x14ac:dyDescent="0.2">
      <c r="A61" t="s">
        <v>640</v>
      </c>
      <c r="B61" t="s">
        <v>30</v>
      </c>
      <c r="C61" t="s">
        <v>31</v>
      </c>
      <c r="D61" t="s">
        <v>32</v>
      </c>
      <c r="E61" t="s">
        <v>1071</v>
      </c>
      <c r="F61" t="s">
        <v>1131</v>
      </c>
      <c r="G61">
        <v>99.514430000000004</v>
      </c>
      <c r="H61" t="s">
        <v>35</v>
      </c>
    </row>
    <row r="62" spans="1:8" x14ac:dyDescent="0.2">
      <c r="A62" t="s">
        <v>640</v>
      </c>
      <c r="B62" t="s">
        <v>30</v>
      </c>
      <c r="C62" t="s">
        <v>31</v>
      </c>
      <c r="D62" t="s">
        <v>32</v>
      </c>
      <c r="E62" t="s">
        <v>1071</v>
      </c>
      <c r="F62" t="s">
        <v>1132</v>
      </c>
      <c r="G62" t="s">
        <v>1133</v>
      </c>
      <c r="H62" t="s">
        <v>35</v>
      </c>
    </row>
    <row r="63" spans="1:8" x14ac:dyDescent="0.2">
      <c r="A63" t="s">
        <v>640</v>
      </c>
      <c r="B63" t="s">
        <v>30</v>
      </c>
      <c r="C63" t="s">
        <v>31</v>
      </c>
      <c r="D63" t="s">
        <v>32</v>
      </c>
      <c r="E63" t="s">
        <v>1071</v>
      </c>
      <c r="F63" t="s">
        <v>1134</v>
      </c>
      <c r="G63">
        <v>100.6074</v>
      </c>
      <c r="H63" t="s">
        <v>35</v>
      </c>
    </row>
    <row r="64" spans="1:8" x14ac:dyDescent="0.2">
      <c r="A64" t="s">
        <v>640</v>
      </c>
      <c r="B64" t="s">
        <v>30</v>
      </c>
      <c r="C64" t="s">
        <v>31</v>
      </c>
      <c r="D64" t="s">
        <v>32</v>
      </c>
      <c r="E64" t="s">
        <v>1071</v>
      </c>
      <c r="F64" t="s">
        <v>1135</v>
      </c>
      <c r="G64">
        <v>101.9843</v>
      </c>
      <c r="H64" t="s">
        <v>35</v>
      </c>
    </row>
    <row r="65" spans="1:8" x14ac:dyDescent="0.2">
      <c r="A65" t="s">
        <v>640</v>
      </c>
      <c r="B65" t="s">
        <v>30</v>
      </c>
      <c r="C65" t="s">
        <v>31</v>
      </c>
      <c r="D65" t="s">
        <v>32</v>
      </c>
      <c r="E65" t="s">
        <v>1071</v>
      </c>
      <c r="F65" t="s">
        <v>1136</v>
      </c>
      <c r="G65">
        <v>102.9978</v>
      </c>
      <c r="H65" t="s">
        <v>35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k E A A B Q S w M E F A A C A A g A y q q s U L T C d 9 m o A A A A + A A A A B I A H A B D b 2 5 m a W c v U G F j a 2 F n Z S 5 4 b W w g o h g A K K A U A A A A A A A A A A A A A A A A A A A A A A A A A A A A h Y 9 L D o I w F E W 3 Q j q n D / A D k k d J d C q J 0 c Q 4 b U q F R i g E i r A 3 B y 7 J L U i i q D O H 9 + Q M z n 3 c 7 h g P Z W F d Z d O q S k f E p Q 6 x p B Z V q n Q W k c 6 c 7 Y D E D H d c X H g m r V H W b T i 0 a U R y Y + o Q o O 9 7 2 s 9 o 1 W T g O Y 4 L p 2 R 7 E L k s O f n I 6 r 9 s K 9 0 a r o U k D I + v G O Z R f 0 U X / j K g 3 t x F m D A m S n 8 V b y y m D s I P x E 1 X m K 6 R r D b 2 e o 8 w T Y T 3 C / Y E U E s D B B Q A A g A I A M q q r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q q x Q N x G s 5 f 8 A A A D J A g A A E w A c A E Z v c m 1 1 b G F z L 1 N l Y 3 R p b 2 4 x L m 0 g o h g A K K A U A A A A A A A A A A A A A A A A A A A A A A A A A A A A 1 V B N S 8 Q w E L 0 X + h 9 C v H Q h l N 2 D I k o O 0 i q e / K B 6 2 k i J 6 e w a T G e W J C 3 0 3 x t s x Y O 4 V z G X S d 6 8 z L z 3 A p h o C V k z 1 8 1 l n u V Z e N M e O k Z g u v Y Q W 4 s 7 p z 9 Z k j m I e c b S a W j w B h J S h b G s y Q w 9 Y C x u r I O y I o z p E Q p e X a j n A D 6 o P a H R q o b w H u m g 7 h F q b 0 d Q X / 8 W g q N x V x r q 1 Y / N p Q k j X 4 l t D c 7 2 N o K X X H D B K n J D j 0 G e C 3 a N h j q L e 3 l 2 u l 5 v B H s c K E I T J w f y + 1 r e E c L L S s w W T v i D p z 7 1 O n Y L u k s 6 e f L z p F 8 T c e k s e D G 7 F W y 7 4 F f O N U m v 9 k F G P 6 S R e W b x 1 6 l H Q 2 0 n 0 N 5 N f 5 f t I u C f R / w B U E s B A i 0 A F A A C A A g A y q q s U L T C d 9 m o A A A A + A A A A B I A A A A A A A A A A A A A A A A A A A A A A E N v b m Z p Z y 9 Q Y W N r Y W d l L n h t b F B L A Q I t A B Q A A g A I A M q q r F A P y u m r p A A A A O k A A A A T A A A A A A A A A A A A A A A A A P Q A A A B b Q 2 9 u d G V u d F 9 U e X B l c 1 0 u e G 1 s U E s B A i 0 A F A A C A A g A y q q s U D c R r O X / A A A A y Q I A A B M A A A A A A A A A A A A A A A A A 5 Q E A A E Z v c m 1 1 b G F z L 1 N l Y 3 R p b 2 4 x L m 1 Q S w U G A A A A A A M A A w D C A A A A M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4 h Y A A A A A A A D A F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l Y 2 R f c H R f a W 5 m b G F 0 a W 9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9 l Y 2 R f c H R f a W 5 m b G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N z M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y V D E 1 O j Q 4 O j U z L j c 3 N j U x M D h a I i A v P j x F b n R y e S B U e X B l P S J G a W x s Q 2 9 s d W 1 u V H l w Z X M i I F Z h b H V l P S J z Q m d Z R 0 J n W U d C Z 1 k 9 I i A v P j x F b n R y e S B U e X B l P S J G a W x s Q 2 9 s d W 1 u T m F t Z X M i I F Z h b H V l P S J z W y Z x d W 9 0 O 0 x P Q 0 F U S U 9 O J n F 1 b 3 Q 7 L C Z x d W 9 0 O 0 l O R E l D Q V R P U i Z x d W 9 0 O y w m c X V v d D t T V U J K R U N U J n F 1 b 3 Q 7 L C Z x d W 9 0 O 0 1 F Q V N V U k U m c X V v d D s s J n F 1 b 3 Q 7 R l J F U V V F T k N Z J n F 1 b 3 Q 7 L C Z x d W 9 0 O 1 R J T U U m c X V v d D s s J n F 1 b 3 Q 7 V m F s d W U m c X V v d D s s J n F 1 b 3 Q 7 R m x h Z y B D b 2 R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9 l Y 2 R f c H R f a W 5 m b G F 0 a W 9 u L 1 N v d X J j Z S 5 7 Q 2 9 s d W 1 u M S w w f S Z x d W 9 0 O y w m c X V v d D t T Z W N 0 a W 9 u M S 9 v Z W N k X 3 B 0 X 2 l u Z m x h d G l v b i 9 T b 3 V y Y 2 U u e 0 N v b H V t b j I s M X 0 m c X V v d D s s J n F 1 b 3 Q 7 U 2 V j d G l v b j E v b 2 V j Z F 9 w d F 9 p b m Z s Y X R p b 2 4 v U 2 9 1 c m N l L n t D b 2 x 1 b W 4 z L D J 9 J n F 1 b 3 Q 7 L C Z x d W 9 0 O 1 N l Y 3 R p b 2 4 x L 2 9 l Y 2 R f c H R f a W 5 m b G F 0 a W 9 u L 1 N v d X J j Z S 5 7 Q 2 9 s d W 1 u N C w z f S Z x d W 9 0 O y w m c X V v d D t T Z W N 0 a W 9 u M S 9 v Z W N k X 3 B 0 X 2 l u Z m x h d G l v b i 9 T b 3 V y Y 2 U u e 0 N v b H V t b j U s N H 0 m c X V v d D s s J n F 1 b 3 Q 7 U 2 V j d G l v b j E v b 2 V j Z F 9 w d F 9 p b m Z s Y X R p b 2 4 v U 2 9 1 c m N l L n t D b 2 x 1 b W 4 2 L D V 9 J n F 1 b 3 Q 7 L C Z x d W 9 0 O 1 N l Y 3 R p b 2 4 x L 2 9 l Y 2 R f c H R f a W 5 m b G F 0 a W 9 u L 1 N v d X J j Z S 5 7 Q 2 9 s d W 1 u N y w 2 f S Z x d W 9 0 O y w m c X V v d D t T Z W N 0 a W 9 u M S 9 v Z W N k X 3 B 0 X 2 l u Z m x h d G l v b i 9 T b 3 V y Y 2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b 2 V j Z F 9 w d F 9 p b m Z s Y X R p b 2 4 v U 2 9 1 c m N l L n t D b 2 x 1 b W 4 x L D B 9 J n F 1 b 3 Q 7 L C Z x d W 9 0 O 1 N l Y 3 R p b 2 4 x L 2 9 l Y 2 R f c H R f a W 5 m b G F 0 a W 9 u L 1 N v d X J j Z S 5 7 Q 2 9 s d W 1 u M i w x f S Z x d W 9 0 O y w m c X V v d D t T Z W N 0 a W 9 u M S 9 v Z W N k X 3 B 0 X 2 l u Z m x h d G l v b i 9 T b 3 V y Y 2 U u e 0 N v b H V t b j M s M n 0 m c X V v d D s s J n F 1 b 3 Q 7 U 2 V j d G l v b j E v b 2 V j Z F 9 w d F 9 p b m Z s Y X R p b 2 4 v U 2 9 1 c m N l L n t D b 2 x 1 b W 4 0 L D N 9 J n F 1 b 3 Q 7 L C Z x d W 9 0 O 1 N l Y 3 R p b 2 4 x L 2 9 l Y 2 R f c H R f a W 5 m b G F 0 a W 9 u L 1 N v d X J j Z S 5 7 Q 2 9 s d W 1 u N S w 0 f S Z x d W 9 0 O y w m c X V v d D t T Z W N 0 a W 9 u M S 9 v Z W N k X 3 B 0 X 2 l u Z m x h d G l v b i 9 T b 3 V y Y 2 U u e 0 N v b H V t b j Y s N X 0 m c X V v d D s s J n F 1 b 3 Q 7 U 2 V j d G l v b j E v b 2 V j Z F 9 w d F 9 p b m Z s Y X R p b 2 4 v U 2 9 1 c m N l L n t D b 2 x 1 b W 4 3 L D Z 9 J n F 1 b 3 Q 7 L C Z x d W 9 0 O 1 N l Y 3 R p b 2 4 x L 2 9 l Y 2 R f c H R f a W 5 m b G F 0 a W 9 u L 1 N v d X J j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2 V j Z F 9 w d F 9 p b m Z s Y X R p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2 V j Z F 9 w d F 9 p b m Z s Y X R p b 2 4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2 V j Z F 9 w d F 9 p b m Z s Y X R p b 2 5 f e W V h c m x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9 l Y 2 R f c H R f a W 5 m b G F 0 a W 9 u X 3 l l Y X J s e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T Y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I w O j I y O j I x L j U 2 M D E 5 M j N a I i A v P j x F b n R y e S B U e X B l P S J G a W x s Q 2 9 s d W 1 u V H l w Z X M i I F Z h b H V l P S J z Q m d Z R 0 J n W U d C Z 1 k 9 I i A v P j x F b n R y e S B U e X B l P S J G a W x s Q 2 9 s d W 1 u T m F t Z X M i I F Z h b H V l P S J z W y Z x d W 9 0 O 0 x P Q 0 F U S U 9 O J n F 1 b 3 Q 7 L C Z x d W 9 0 O 0 l O R E l D Q V R P U i Z x d W 9 0 O y w m c X V v d D t T V U J K R U N U J n F 1 b 3 Q 7 L C Z x d W 9 0 O 0 1 F Q V N V U k U m c X V v d D s s J n F 1 b 3 Q 7 R l J F U V V F T k N Z J n F 1 b 3 Q 7 L C Z x d W 9 0 O 1 R J T U U m c X V v d D s s J n F 1 b 3 Q 7 V m F s d W U m c X V v d D s s J n F 1 b 3 Q 7 R m x h Z y B D b 2 R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9 l Y 2 R f c H R f a W 5 m b G F 0 a W 9 u X 3 l l Y X J s e S 9 T b 3 V y Y 2 U u e 0 N v b H V t b j E s M H 0 m c X V v d D s s J n F 1 b 3 Q 7 U 2 V j d G l v b j E v b 2 V j Z F 9 w d F 9 p b m Z s Y X R p b 2 5 f e W V h c m x 5 L 1 N v d X J j Z S 5 7 Q 2 9 s d W 1 u M i w x f S Z x d W 9 0 O y w m c X V v d D t T Z W N 0 a W 9 u M S 9 v Z W N k X 3 B 0 X 2 l u Z m x h d G l v b l 9 5 Z W F y b H k v U 2 9 1 c m N l L n t D b 2 x 1 b W 4 z L D J 9 J n F 1 b 3 Q 7 L C Z x d W 9 0 O 1 N l Y 3 R p b 2 4 x L 2 9 l Y 2 R f c H R f a W 5 m b G F 0 a W 9 u X 3 l l Y X J s e S 9 T b 3 V y Y 2 U u e 0 N v b H V t b j Q s M 3 0 m c X V v d D s s J n F 1 b 3 Q 7 U 2 V j d G l v b j E v b 2 V j Z F 9 w d F 9 p b m Z s Y X R p b 2 5 f e W V h c m x 5 L 1 N v d X J j Z S 5 7 Q 2 9 s d W 1 u N S w 0 f S Z x d W 9 0 O y w m c X V v d D t T Z W N 0 a W 9 u M S 9 v Z W N k X 3 B 0 X 2 l u Z m x h d G l v b l 9 5 Z W F y b H k v U 2 9 1 c m N l L n t D b 2 x 1 b W 4 2 L D V 9 J n F 1 b 3 Q 7 L C Z x d W 9 0 O 1 N l Y 3 R p b 2 4 x L 2 9 l Y 2 R f c H R f a W 5 m b G F 0 a W 9 u X 3 l l Y X J s e S 9 T b 3 V y Y 2 U u e 0 N v b H V t b j c s N n 0 m c X V v d D s s J n F 1 b 3 Q 7 U 2 V j d G l v b j E v b 2 V j Z F 9 w d F 9 p b m Z s Y X R p b 2 5 f e W V h c m x 5 L 1 N v d X J j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v Z W N k X 3 B 0 X 2 l u Z m x h d G l v b l 9 5 Z W F y b H k v U 2 9 1 c m N l L n t D b 2 x 1 b W 4 x L D B 9 J n F 1 b 3 Q 7 L C Z x d W 9 0 O 1 N l Y 3 R p b 2 4 x L 2 9 l Y 2 R f c H R f a W 5 m b G F 0 a W 9 u X 3 l l Y X J s e S 9 T b 3 V y Y 2 U u e 0 N v b H V t b j I s M X 0 m c X V v d D s s J n F 1 b 3 Q 7 U 2 V j d G l v b j E v b 2 V j Z F 9 w d F 9 p b m Z s Y X R p b 2 5 f e W V h c m x 5 L 1 N v d X J j Z S 5 7 Q 2 9 s d W 1 u M y w y f S Z x d W 9 0 O y w m c X V v d D t T Z W N 0 a W 9 u M S 9 v Z W N k X 3 B 0 X 2 l u Z m x h d G l v b l 9 5 Z W F y b H k v U 2 9 1 c m N l L n t D b 2 x 1 b W 4 0 L D N 9 J n F 1 b 3 Q 7 L C Z x d W 9 0 O 1 N l Y 3 R p b 2 4 x L 2 9 l Y 2 R f c H R f a W 5 m b G F 0 a W 9 u X 3 l l Y X J s e S 9 T b 3 V y Y 2 U u e 0 N v b H V t b j U s N H 0 m c X V v d D s s J n F 1 b 3 Q 7 U 2 V j d G l v b j E v b 2 V j Z F 9 w d F 9 p b m Z s Y X R p b 2 5 f e W V h c m x 5 L 1 N v d X J j Z S 5 7 Q 2 9 s d W 1 u N i w 1 f S Z x d W 9 0 O y w m c X V v d D t T Z W N 0 a W 9 u M S 9 v Z W N k X 3 B 0 X 2 l u Z m x h d G l v b l 9 5 Z W F y b H k v U 2 9 1 c m N l L n t D b 2 x 1 b W 4 3 L D Z 9 J n F 1 b 3 Q 7 L C Z x d W 9 0 O 1 N l Y 3 R p b 2 4 x L 2 9 l Y 2 R f c H R f a W 5 m b G F 0 a W 9 u X 3 l l Y X J s e S 9 T b 3 V y Y 2 U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l Y 2 R f c H R f a W 5 m b G F 0 a W 9 u X 3 l l Y X J s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Z W N k X 3 B 0 X 2 l u Z m x h d G l v b l 9 5 Z W F y b H k v U H J v b W 9 0 Z W Q l M j B I Z W F k Z X J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E l + 1 b s h P x G s j N d l q z f R 6 E A A A A A A g A A A A A A E G Y A A A A B A A A g A A A A v q 1 M T A W t d l J v B s D x 0 G H 1 P O o 7 D y G 5 L v 4 p k H + K 6 T w v D e Q A A A A A D o A A A A A C A A A g A A A A 2 U 6 Q m T n i X x P o U + 0 I w v B s A Y h W 1 E f 2 i g / 1 X b F p Z Q y S 7 Y t Q A A A A e K X E q d h 5 Y A e w Z h O l 3 H x h t 8 7 x 9 H B Z / l B r V o l C 9 h 1 A 6 8 u X U P 2 3 w r r 9 T O E S e C s D W z M G 1 2 v l 5 q D g j P f R G d c B w u A 8 g B t d m X v 7 Q F i q b b n D d 9 N T H f t A A A A A f f l y L I N V 9 f 2 p K + d E + Q h a N Z m f Z 2 4 e D 1 T N z U 7 F 4 J n j 9 8 5 w O 5 7 0 E 5 v D w m v U l o k 0 4 T 0 D m X W S 1 J B u u i S M 3 / D 4 I 9 B W 4 A = = < / D a t a M a s h u p > 
</file>

<file path=customXml/itemProps1.xml><?xml version="1.0" encoding="utf-8"?>
<ds:datastoreItem xmlns:ds="http://schemas.openxmlformats.org/officeDocument/2006/customXml" ds:itemID="{8664487E-6DEA-406B-8D77-56745A19D8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nominal vs real</vt:lpstr>
      <vt:lpstr>inflation-monthly</vt:lpstr>
      <vt:lpstr>inflation-yearly</vt:lpstr>
      <vt:lpstr>source--msci-world-history</vt:lpstr>
      <vt:lpstr>source--pt-inflation-month</vt:lpstr>
      <vt:lpstr>source--pt-inflation-year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Gonçalo Figueiredo</cp:lastModifiedBy>
  <dcterms:created xsi:type="dcterms:W3CDTF">2020-05-02T15:48:17Z</dcterms:created>
  <dcterms:modified xsi:type="dcterms:W3CDTF">2020-05-13T07:10:52Z</dcterms:modified>
</cp:coreProperties>
</file>